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domen\Desktop\"/>
    </mc:Choice>
  </mc:AlternateContent>
  <xr:revisionPtr revIDLastSave="0" documentId="13_ncr:1_{BBB7B77A-EEA6-4A75-82CB-A8A9BD92FFBD}" xr6:coauthVersionLast="47" xr6:coauthVersionMax="47" xr10:uidLastSave="{00000000-0000-0000-0000-000000000000}"/>
  <workbookProtection workbookAlgorithmName="SHA-512" workbookHashValue="W8REtmduj5EvBTM9m9wMqUIQV+3cl2GqedzT2EmWHtH5oSVqCa62w0S0V0xtQEhxcRroCKqJvVZTZx/TYPbKlg==" workbookSaltValue="ODKCvFmvLluejqb/Z+OmZQ==" workbookSpinCount="100000" lockStructure="1"/>
  <bookViews>
    <workbookView xWindow="-96" yWindow="-96" windowWidth="23232" windowHeight="14592" activeTab="3" xr2:uid="{00B3AC8D-74BB-4801-9B1E-D527B539984D}"/>
  </bookViews>
  <sheets>
    <sheet name="Calculadora" sheetId="1" r:id="rId1"/>
    <sheet name="Lab Casino vs Banco" sheetId="3" r:id="rId2"/>
    <sheet name="Market Open times" sheetId="4" r:id="rId3"/>
    <sheet name="Calculo nº contratos"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B25" i="5" l="1"/>
  <c r="B22" i="5"/>
  <c r="B23" i="5" s="1"/>
  <c r="B24" i="5" s="1"/>
  <c r="B21" i="5"/>
  <c r="B17" i="5"/>
  <c r="B16" i="5"/>
  <c r="B11" i="5"/>
  <c r="A19" i="1"/>
  <c r="A18" i="1"/>
  <c r="C9" i="1"/>
  <c r="D9" i="1" s="1"/>
  <c r="C8" i="1"/>
  <c r="D8" i="1" s="1"/>
  <c r="C18" i="1"/>
  <c r="B14" i="1"/>
  <c r="D19" i="1" s="1"/>
  <c r="A14" i="1"/>
  <c r="D11" i="1"/>
  <c r="C7" i="1"/>
  <c r="D7" i="1" s="1"/>
  <c r="I6" i="1"/>
  <c r="I5" i="1"/>
  <c r="I4" i="1"/>
  <c r="I3" i="1"/>
  <c r="I2" i="1"/>
  <c r="B30" i="5" l="1"/>
  <c r="B29" i="5"/>
  <c r="B26" i="5" s="1"/>
  <c r="B18" i="5" s="1"/>
  <c r="C14" i="1"/>
  <c r="D15" i="1" s="1"/>
  <c r="D18" i="1" l="1"/>
  <c r="C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10" authorId="0" shapeId="0" xr:uid="{FB0C2863-F2DB-4175-9192-0CE8251CDB09}">
      <text>
        <r>
          <rPr>
            <sz val="10"/>
            <rFont val="Arial"/>
            <family val="2"/>
          </rPr>
          <t>Una sola elección fija a la vez el multiplicador de puntos/pips y el valor de pip/punto orientativo. Petróleo (1.000 barriles) y Oro (100 u onzas de contrato estándar de futuros COMEX) son tamaños de contrato de referencia habituales — confirma el tamaño exacto de tu bróker/CFD, puede variar.</t>
        </r>
      </text>
    </comment>
    <comment ref="B12" authorId="0" shapeId="0" xr:uid="{A0E2F378-04C7-477D-A7EA-353FA5B26C3C}">
      <text>
        <r>
          <rPr>
            <sz val="10"/>
            <rFont val="Arial"/>
            <family val="2"/>
          </rPr>
          <t>Este es el valor que realmente usa la fórmula. Copia el sugerido de arriba o pon el de tu bróker si es distinto (los CFDs de oro y petróleo no siempre replican el tamaño del contrato de futuros).</t>
        </r>
      </text>
    </comment>
    <comment ref="B13" authorId="0" shapeId="0" xr:uid="{BA5C5CFF-5411-4979-BCFF-A20D1FC5DB32}">
      <text>
        <r>
          <rPr>
            <sz val="10"/>
            <rFont val="Arial"/>
            <family val="2"/>
          </rPr>
          <t>Varía según bróker, instrumento y a veces jurisdicción — ponlo tú. Con los datos que diste: petróleo suele rondar 1:10, oro 1:20, pero confírmalo en la ficha de tu bróker antes de operar.</t>
        </r>
      </text>
    </comment>
  </commentList>
</comments>
</file>

<file path=xl/sharedStrings.xml><?xml version="1.0" encoding="utf-8"?>
<sst xmlns="http://schemas.openxmlformats.org/spreadsheetml/2006/main" count="251" uniqueCount="162">
  <si>
    <t>Precio Actual</t>
  </si>
  <si>
    <t>Día de Compra</t>
  </si>
  <si>
    <t>DAX</t>
  </si>
  <si>
    <t>Lunes</t>
  </si>
  <si>
    <t>Martes</t>
  </si>
  <si>
    <t>Miércoles</t>
  </si>
  <si>
    <t>Jueves</t>
  </si>
  <si>
    <t>Viernes</t>
  </si>
  <si>
    <t>Valor Intrínseco (Roca)</t>
  </si>
  <si>
    <t>PRIMA TOTAL A PAGAR</t>
  </si>
  <si>
    <t>1:</t>
  </si>
  <si>
    <t>Dirección</t>
  </si>
  <si>
    <t>CALL (Largo)</t>
  </si>
  <si>
    <t>Riesgo Máximo</t>
  </si>
  <si>
    <t>Beneficio Limpio (Viernes):</t>
  </si>
  <si>
    <t>Activo</t>
  </si>
  <si>
    <t>PASO 1: MENÚ DE STRIKES RECOMENDADOS SEGÚN EL DELTA BUSCADO</t>
  </si>
  <si>
    <t>Perfil de Profundidad</t>
  </si>
  <si>
    <t>Delta Estimado (Velocidad)</t>
  </si>
  <si>
    <t>STRIKE SUGERIDO</t>
  </si>
  <si>
    <t>Coste Intrínseco Aprox.</t>
  </si>
  <si>
    <t>~ 0.95 (Recomendado)</t>
  </si>
  <si>
    <t>~ 0.99 (Clon exacto)</t>
  </si>
  <si>
    <t>PASO 2: ESCRIBE EL STRIKE ELEGIDO -&gt;</t>
  </si>
  <si>
    <t>Congelado a Prima Total</t>
  </si>
  <si>
    <t>PASO 3: SIMULADOR DE LA OPERACIÓN (Basado en Strike Elegido)</t>
  </si>
  <si>
    <t>Apalancamiento Operativo:</t>
  </si>
  <si>
    <t>Peaje Theta (Dinámico por Proximidad)</t>
  </si>
  <si>
    <t>DOC   Económico</t>
  </si>
  <si>
    <t>DOC   Sweet Spot</t>
  </si>
  <si>
    <t xml:space="preserve">DOC   Réplica Total </t>
  </si>
  <si>
    <t>~ 0.85  (Delta Alto)</t>
  </si>
  <si>
    <t>Solo se tienen que rellenar las casillas de color amarillo y abrir los desplegables y seleccionar las casillas de color naranja</t>
  </si>
  <si>
    <t>Pérdida en Futuros o CFD's:</t>
  </si>
  <si>
    <t>CALCULADORA DE OPCIONES VANILLA: MATRIZ DE DELTA Y THETA      SISTEMA DOC    Autor  Domenec</t>
  </si>
  <si>
    <t>1. CONFIGURACIÓN DEL ESCENARIO (EL ACTIVO)</t>
  </si>
  <si>
    <t>Precio de Entrada</t>
  </si>
  <si>
    <t>Días en Operación</t>
  </si>
  <si>
    <t>Movimiento A FAVOR</t>
  </si>
  <si>
    <t>+100 Puntos</t>
  </si>
  <si>
    <t>2. EL DUELO MATEMÁTICO: ¿QUÉ PASA CUANDO ACERTAMOS LA DIRECCIÓN?</t>
  </si>
  <si>
    <t>EL BANCO (Deep ITM - Escudo)</t>
  </si>
  <si>
    <t>EL CASINO (Opción OTM - Novato)</t>
  </si>
  <si>
    <t>Strike Elegido</t>
  </si>
  <si>
    <t>25000 (Lejos del precio actual)</t>
  </si>
  <si>
    <t>26200 (Esperando el pelotazo)</t>
  </si>
  <si>
    <t>Composición de la Prima</t>
  </si>
  <si>
    <t>95% Roca (Intrínseco) / 5% Aire</t>
  </si>
  <si>
    <t>100% Aire (Extrínseco)</t>
  </si>
  <si>
    <t>Delta Inicial (Velocidad)</t>
  </si>
  <si>
    <t>~ 0.20 (Lenta)</t>
  </si>
  <si>
    <t>Impacto GAMMA (Aceleración)</t>
  </si>
  <si>
    <t>INACTIVA (Ya vas a tope)</t>
  </si>
  <si>
    <t>ACTIVA (Intenta empujar Delta a 0.35)</t>
  </si>
  <si>
    <t>Impacto THETA (Desgaste en 2 días)</t>
  </si>
  <si>
    <t>Mínimo (-4 puntos en total)</t>
  </si>
  <si>
    <t>CRÍTICO (-20 puntos por ser 100% aire)</t>
  </si>
  <si>
    <t>Impacto VEGA (Caída Volatilidad)</t>
  </si>
  <si>
    <t>INMUNE (La roca no sufre IV Crush)</t>
  </si>
  <si>
    <t>DESTRUCTOR (-10 puntos extra al relajarse)</t>
  </si>
  <si>
    <t>Puntos Capturados (Por subir 100pt)</t>
  </si>
  <si>
    <t>~ 25 puntos teóricos (Gracias a Gamma)</t>
  </si>
  <si>
    <t>Descuento de Peajes (Theta + Vega)</t>
  </si>
  <si>
    <t>-4 Puntos</t>
  </si>
  <si>
    <t>-30 Puntos</t>
  </si>
  <si>
    <t>RESULTADO FINAL</t>
  </si>
  <si>
    <t>- 5 PUNTOS (PÉRDIDA)</t>
  </si>
  <si>
    <t>LABORATORIO DE ESTRÉS: EL CASINO (OTM) VS EL BANCO (DEEP ITM)     por   Domenec</t>
  </si>
  <si>
    <t>~ 0.99 (Constante)</t>
  </si>
  <si>
    <t>~ 99 puntos reales</t>
  </si>
  <si>
    <t>+ 95 PUNTOS LIMPIOS</t>
  </si>
  <si>
    <t>Nota de Domenec: A diferencia de los productos basura OTM, la prima pagada en una opción Deep ITM funciona exactamente como la GARANTÍA en futuros o CFDs. No es un dinero 'perdido'. Si el mercado se mueve en tu contra y cierras la operación intradía, recuperas gran parte de la prima, asumiendo únicamente la diferencia en puntos reales del activo más una mínima penalización por el consumo intradía de Theta. El riesgo asimétrico está siempre a tu favor.</t>
  </si>
  <si>
    <t>EURUSD</t>
  </si>
  <si>
    <t>Horarios de negociación en CEST</t>
  </si>
  <si>
    <t>Vista por columnas: Weekly destacado primero. Conversión aplicada: Londres + 1 hora = CEST.</t>
  </si>
  <si>
    <t>WEEKLY — vista rápida CEST</t>
  </si>
  <si>
    <t>Producto</t>
  </si>
  <si>
    <t>Apertura Weekly</t>
  </si>
  <si>
    <t>Cierre Weekly</t>
  </si>
  <si>
    <t>Notas</t>
  </si>
  <si>
    <t>Nasdaq</t>
  </si>
  <si>
    <t>15:32:30</t>
  </si>
  <si>
    <t>22:00</t>
  </si>
  <si>
    <t>cada dia</t>
  </si>
  <si>
    <t>09:05 Lun</t>
  </si>
  <si>
    <t>22:15 Vie</t>
  </si>
  <si>
    <t/>
  </si>
  <si>
    <t>EURSTX</t>
  </si>
  <si>
    <t>09:05</t>
  </si>
  <si>
    <t>17:30</t>
  </si>
  <si>
    <t>Dow</t>
  </si>
  <si>
    <t>02:15 Lun</t>
  </si>
  <si>
    <t>22:00 Vie</t>
  </si>
  <si>
    <t>SPX</t>
  </si>
  <si>
    <t>Crude</t>
  </si>
  <si>
    <t>00:00 Lun</t>
  </si>
  <si>
    <t>23:00-00:00 cada día</t>
  </si>
  <si>
    <t>Gold</t>
  </si>
  <si>
    <t>Silver</t>
  </si>
  <si>
    <t>Euro</t>
  </si>
  <si>
    <t>23:00 Dom</t>
  </si>
  <si>
    <t>Forex</t>
  </si>
  <si>
    <t>TODOS LOS HORARIOS — matriz CEST</t>
  </si>
  <si>
    <t>Weekly Apertura</t>
  </si>
  <si>
    <t>Weekly Cierre</t>
  </si>
  <si>
    <t>Daily Apertura</t>
  </si>
  <si>
    <t>Daily Cierre</t>
  </si>
  <si>
    <t>Monthly Apertura</t>
  </si>
  <si>
    <t>Monthly Cierre</t>
  </si>
  <si>
    <t>Nas</t>
  </si>
  <si>
    <t>22:40</t>
  </si>
  <si>
    <t>18:10</t>
  </si>
  <si>
    <t>EUX</t>
  </si>
  <si>
    <t>20:30</t>
  </si>
  <si>
    <t>19:30</t>
  </si>
  <si>
    <t>21:00</t>
  </si>
  <si>
    <t>Calculadora de Tamaño de Posición (Gestión de Riesgo)</t>
  </si>
  <si>
    <t>DATOS DE ENTRADA (celdas amarillas = editar)</t>
  </si>
  <si>
    <t>Capital de la cuenta</t>
  </si>
  <si>
    <t>Riesgo máximo asumido (%)</t>
  </si>
  <si>
    <t>Precio de entrada</t>
  </si>
  <si>
    <t>Precio zona de máximo riesgo (stop)</t>
  </si>
  <si>
    <t>CÁLCULOS</t>
  </si>
  <si>
    <t>Riesgo monetario (Capital x Riesgo %)</t>
  </si>
  <si>
    <t>Riesgo monetario por contrato/lote</t>
  </si>
  <si>
    <t>RESULTADO</t>
  </si>
  <si>
    <t>Nº de contratos/lotes (redondeado hacia abajo)</t>
  </si>
  <si>
    <t>Nº de contratos enteros (para futuros/índices)</t>
  </si>
  <si>
    <t>NOTAS</t>
  </si>
  <si>
    <t>Dirección de la operación</t>
  </si>
  <si>
    <t>VALIDACIÓN</t>
  </si>
  <si>
    <t>Coherencia dirección / stop</t>
  </si>
  <si>
    <t>Doc — Nº de contratos/lotes según capital, riesgo asumido, dirección, distancia al stop y margen</t>
  </si>
  <si>
    <t>Lista del desplegable (no borrar)</t>
  </si>
  <si>
    <t>Índice / Materia prima (genérico)</t>
  </si>
  <si>
    <t>Petróleo (WTI) - contrato estándar (1.000 barriles)</t>
  </si>
  <si>
    <t>Oro (XAU) - contrato estándar (100 onzas)</t>
  </si>
  <si>
    <t>Oro (XAU) - minilote (10 onzas)</t>
  </si>
  <si>
    <t>Forex estándar - Lote estándar (100.000 uds.)</t>
  </si>
  <si>
    <t>Activo y tamaño de lote (elige UNA sola opción de la lista)</t>
  </si>
  <si>
    <t>Forex estándar - Minilote (10.000 uds.)</t>
  </si>
  <si>
    <t>Valor de pip/punto sugerido (aprox., USD)</t>
  </si>
  <si>
    <t>Forex con JPY - Lote estándar (100.000 uds.)</t>
  </si>
  <si>
    <t>Valor monetario por punto/pip, por contrato o lote (el que se usa en el cálculo)</t>
  </si>
  <si>
    <t>Forex con JPY - Minilote (10.000 uds.)</t>
  </si>
  <si>
    <t>Apalancamiento disponible (ej. 10 = 1:10, 20 = 1:20)</t>
  </si>
  <si>
    <t>Posible tipo de activo incorrecto</t>
  </si>
  <si>
    <t>Margen estimado vs. capital disponible</t>
  </si>
  <si>
    <t>Multiplicador aplicado (según activo elegido)</t>
  </si>
  <si>
    <t>Distancia entrada - stop, en puntos/pips reales</t>
  </si>
  <si>
    <t>Valor nominal por contrato/lote (aprox.)</t>
  </si>
  <si>
    <t>Margen estimado requerido</t>
  </si>
  <si>
    <t>• B29 da el resultado exacto (útil para forex, donde los lotes admiten decimales, ej. 0,01 = 1 microlote).</t>
  </si>
  <si>
    <t>• B30 redondea a contrato entero completo, apto para futuros/índices que no admiten fracciones.</t>
  </si>
  <si>
    <t>• Una sola casilla (B10) fija a la vez tipo de activo, multiplicador y valor de punto/pip sugerido.</t>
  </si>
  <si>
    <t>• Petróleo (1.000 barriles) y Oro (100 onzas contrato estándar / 10 onzas mini) son tamaños de referencia de futuros — confirma con tu bróker si operas CFD, puede diferir.</t>
  </si>
  <si>
    <t>• El apalancamiento (B13) y el margen (B26) son una capa aparte del cálculo de riesgo: el riesgo por stop (B29/B30) te dice CUÁNTOS contratos puedes permitirte perder sin superar tu % de riesgo; el margen (B18) comprueba si, ADEMÁS, tu capital cubre el margen para abrir esa posición con el apalancamiento dado.</t>
  </si>
  <si>
    <t>• Si el margen requerido (B26) supera tu capital, no podrías abrir esos contratos aunque el riesgo lo permita — tendrías que reducir el nº de contratos o buscar más apalancamiento.</t>
  </si>
  <si>
    <t>• La fila 16 avisa si el stop está mal colocado según la dirección elegida; la fila 17 avisa si el precio no encaja con el tipo de activo elegido.</t>
  </si>
  <si>
    <t>• Ejemplo índice: Capital 30.000, riesgo 1% = 300; distancia 60 puntos (multiplicador 1); valor 1/punto → 300/(60x1) = 5 contratos.</t>
  </si>
  <si>
    <t>• Ejemplo forex: entrada 1,1500, stop 1,1540 (venta), Forex estándar - Lote estándar (10 USD/pip) → distancia 40 pips → 300/(40x10) = 0,75 lotes.</t>
  </si>
  <si>
    <t>Venta (bajista)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</si>
</sst>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Delta Aprox: ~ &quot;0.00"/>
    <numFmt numFmtId="165" formatCode="0.####"/>
    <numFmt numFmtId="166" formatCode="0.0%"/>
    <numFmt numFmtId="167" formatCode="#,##0.0000"/>
    <numFmt numFmtId="168" formatCode="\$#,##0.00;;;"/>
  </numFmts>
  <fonts count="26" x14ac:knownFonts="1">
    <font>
      <sz val="11"/>
      <color theme="1"/>
      <name val="Aptos Narrow"/>
      <family val="2"/>
      <scheme val="minor"/>
    </font>
    <font>
      <b/>
      <sz val="11"/>
      <color theme="1"/>
      <name val="Aptos Narrow"/>
      <family val="2"/>
      <scheme val="minor"/>
    </font>
    <font>
      <b/>
      <sz val="11"/>
      <color rgb="FFFF0000"/>
      <name val="Aptos Narrow"/>
      <family val="2"/>
      <scheme val="minor"/>
    </font>
    <font>
      <b/>
      <sz val="11"/>
      <color rgb="FF006600"/>
      <name val="Aptos Narrow"/>
      <family val="2"/>
      <scheme val="minor"/>
    </font>
    <font>
      <b/>
      <sz val="13"/>
      <color rgb="FFFFFFFF"/>
      <name val="Aptos Narrow"/>
      <family val="2"/>
      <scheme val="minor"/>
    </font>
    <font>
      <sz val="11"/>
      <color rgb="FFFFFFFF"/>
      <name val="Aptos Narrow"/>
      <family val="2"/>
      <scheme val="minor"/>
    </font>
    <font>
      <b/>
      <sz val="11"/>
      <color rgb="FFFFFFFF"/>
      <name val="Aptos Narrow"/>
      <family val="2"/>
      <scheme val="minor"/>
    </font>
    <font>
      <b/>
      <sz val="12"/>
      <color theme="1"/>
      <name val="Aptos Narrow"/>
      <family val="2"/>
      <scheme val="minor"/>
    </font>
    <font>
      <b/>
      <sz val="11"/>
      <color rgb="FF003366"/>
      <name val="Aptos Narrow"/>
      <family val="2"/>
      <scheme val="minor"/>
    </font>
    <font>
      <i/>
      <sz val="11"/>
      <color rgb="FF003366"/>
      <name val="Aptos Narrow"/>
      <family val="2"/>
      <scheme val="minor"/>
    </font>
    <font>
      <b/>
      <sz val="16"/>
      <color theme="1"/>
      <name val="Aptos Narrow"/>
      <family val="2"/>
      <scheme val="minor"/>
    </font>
    <font>
      <b/>
      <sz val="11"/>
      <color rgb="FF006400"/>
      <name val="Aptos Narrow"/>
      <family val="2"/>
      <scheme val="minor"/>
    </font>
    <font>
      <b/>
      <sz val="11"/>
      <color rgb="FFC80000"/>
      <name val="Aptos Narrow"/>
      <family val="2"/>
      <scheme val="minor"/>
    </font>
    <font>
      <b/>
      <sz val="10"/>
      <color rgb="FFFFFFFF"/>
      <name val="Calibri"/>
    </font>
    <font>
      <i/>
      <sz val="10"/>
      <color rgb="FF666666"/>
      <name val="Calibri"/>
    </font>
    <font>
      <sz val="10"/>
      <color theme="1"/>
      <name val="Calibri"/>
    </font>
    <font>
      <sz val="10"/>
      <name val="Arial"/>
      <family val="2"/>
    </font>
    <font>
      <b/>
      <sz val="14"/>
      <color rgb="FFFFFFFF"/>
      <name val="Arial"/>
      <family val="2"/>
    </font>
    <font>
      <i/>
      <sz val="10"/>
      <color rgb="FF595959"/>
      <name val="Arial"/>
      <family val="2"/>
    </font>
    <font>
      <b/>
      <sz val="11"/>
      <color rgb="FF000000"/>
      <name val="Arial"/>
      <family val="2"/>
    </font>
    <font>
      <sz val="11"/>
      <color rgb="FF000000"/>
      <name val="Arial"/>
      <family val="2"/>
    </font>
    <font>
      <sz val="11"/>
      <color rgb="FF0000FF"/>
      <name val="Arial"/>
      <family val="2"/>
    </font>
    <font>
      <b/>
      <sz val="13"/>
      <color rgb="FF000000"/>
      <name val="Arial"/>
      <family val="2"/>
    </font>
    <font>
      <i/>
      <sz val="9"/>
      <color rgb="FF808080"/>
      <name val="Arial"/>
      <family val="2"/>
    </font>
    <font>
      <sz val="9"/>
      <color rgb="FFA6A6A6"/>
      <name val="Arial"/>
      <family val="2"/>
    </font>
    <font>
      <i/>
      <sz val="10"/>
      <color rgb="FF1F4E78"/>
      <name val="Arial"/>
      <family val="2"/>
    </font>
  </fonts>
  <fills count="27">
    <fill>
      <patternFill patternType="none"/>
    </fill>
    <fill>
      <patternFill patternType="gray125"/>
    </fill>
    <fill>
      <patternFill patternType="solid">
        <fgColor rgb="FF003366"/>
        <bgColor indexed="64"/>
      </patternFill>
    </fill>
    <fill>
      <patternFill patternType="solid">
        <fgColor rgb="FFC8C8C8"/>
        <bgColor indexed="64"/>
      </patternFill>
    </fill>
    <fill>
      <patternFill patternType="solid">
        <fgColor rgb="FFFFFF99"/>
        <bgColor indexed="64"/>
      </patternFill>
    </fill>
    <fill>
      <patternFill patternType="solid">
        <fgColor rgb="FFCCFFCC"/>
        <bgColor indexed="64"/>
      </patternFill>
    </fill>
    <fill>
      <patternFill patternType="solid">
        <fgColor rgb="FF3399FF"/>
        <bgColor indexed="64"/>
      </patternFill>
    </fill>
    <fill>
      <patternFill patternType="solid">
        <fgColor rgb="FF646464"/>
        <bgColor indexed="64"/>
      </patternFill>
    </fill>
    <fill>
      <patternFill patternType="solid">
        <fgColor rgb="FFDCEBFF"/>
        <bgColor indexed="64"/>
      </patternFill>
    </fill>
    <fill>
      <patternFill patternType="solid">
        <fgColor rgb="FFFFF2CC"/>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E6F0FA"/>
        <bgColor indexed="64"/>
      </patternFill>
    </fill>
    <fill>
      <patternFill patternType="solid">
        <fgColor rgb="FFFFFF00"/>
        <bgColor indexed="64"/>
      </patternFill>
    </fill>
    <fill>
      <patternFill patternType="solid">
        <fgColor rgb="FF808080"/>
        <bgColor indexed="64"/>
      </patternFill>
    </fill>
    <fill>
      <patternFill patternType="solid">
        <fgColor rgb="FFDCDCDC"/>
        <bgColor indexed="64"/>
      </patternFill>
    </fill>
    <fill>
      <patternFill patternType="solid">
        <fgColor rgb="FF8B0000"/>
        <bgColor indexed="64"/>
      </patternFill>
    </fill>
    <fill>
      <patternFill patternType="solid">
        <fgColor rgb="FFFFEBEB"/>
        <bgColor indexed="64"/>
      </patternFill>
    </fill>
    <fill>
      <patternFill patternType="solid">
        <fgColor rgb="FFFFCCCC"/>
        <bgColor indexed="64"/>
      </patternFill>
    </fill>
    <fill>
      <patternFill patternType="solid">
        <fgColor rgb="FF1F4E78"/>
        <bgColor indexed="64"/>
      </patternFill>
    </fill>
    <fill>
      <patternFill patternType="solid">
        <fgColor rgb="FF5B9BD5"/>
        <bgColor indexed="64"/>
      </patternFill>
    </fill>
    <fill>
      <patternFill patternType="solid">
        <fgColor rgb="FFEAF3F8"/>
        <bgColor indexed="64"/>
      </patternFill>
    </fill>
    <fill>
      <patternFill patternType="solid">
        <fgColor rgb="FF1F4E78"/>
        <bgColor rgb="FF003366"/>
      </patternFill>
    </fill>
    <fill>
      <patternFill patternType="solid">
        <fgColor rgb="FFD9D9D9"/>
        <bgColor rgb="FFD9EAD3"/>
      </patternFill>
    </fill>
    <fill>
      <patternFill patternType="solid">
        <fgColor rgb="FFFFF2CC"/>
        <bgColor rgb="FFFFFFFF"/>
      </patternFill>
    </fill>
    <fill>
      <patternFill patternType="solid">
        <fgColor rgb="FFDDEBF7"/>
        <bgColor rgb="FFD9EAD3"/>
      </patternFill>
    </fill>
    <fill>
      <patternFill patternType="solid">
        <fgColor rgb="FFD9EAD3"/>
        <bgColor rgb="FFDDEBF7"/>
      </patternFill>
    </fill>
  </fills>
  <borders count="13">
    <border>
      <left/>
      <right/>
      <top/>
      <bottom/>
      <diagonal/>
    </border>
    <border>
      <left style="thin">
        <color rgb="FF969696"/>
      </left>
      <right style="thin">
        <color rgb="FF969696"/>
      </right>
      <top style="thin">
        <color rgb="FF969696"/>
      </top>
      <bottom style="thin">
        <color rgb="FF969696"/>
      </bottom>
      <diagonal/>
    </border>
    <border>
      <left/>
      <right style="thin">
        <color rgb="FFD9EAF7"/>
      </right>
      <top/>
      <bottom style="thin">
        <color rgb="FFD9EAF7"/>
      </bottom>
      <diagonal/>
    </border>
    <border>
      <left style="thin">
        <color rgb="FFD9EAF7"/>
      </left>
      <right style="thin">
        <color rgb="FFD9EAF7"/>
      </right>
      <top/>
      <bottom style="thin">
        <color rgb="FFD9EAF7"/>
      </bottom>
      <diagonal/>
    </border>
    <border>
      <left style="thin">
        <color rgb="FFD9EAF7"/>
      </left>
      <right/>
      <top/>
      <bottom style="thin">
        <color rgb="FFD9EAF7"/>
      </bottom>
      <diagonal/>
    </border>
    <border>
      <left/>
      <right style="thin">
        <color rgb="FFD9EAF7"/>
      </right>
      <top style="thin">
        <color rgb="FFD9EAF7"/>
      </top>
      <bottom style="thin">
        <color rgb="FFD9EAF7"/>
      </bottom>
      <diagonal/>
    </border>
    <border>
      <left style="thin">
        <color rgb="FFD9EAF7"/>
      </left>
      <right style="thin">
        <color rgb="FFD9EAF7"/>
      </right>
      <top style="thin">
        <color rgb="FFD9EAF7"/>
      </top>
      <bottom style="thin">
        <color rgb="FFD9EAF7"/>
      </bottom>
      <diagonal/>
    </border>
    <border>
      <left style="thin">
        <color rgb="FFD9EAF7"/>
      </left>
      <right/>
      <top style="thin">
        <color rgb="FFD9EAF7"/>
      </top>
      <bottom style="thin">
        <color rgb="FFD9EAF7"/>
      </bottom>
      <diagonal/>
    </border>
    <border>
      <left/>
      <right style="thin">
        <color rgb="FFD9EAF7"/>
      </right>
      <top style="thin">
        <color rgb="FFD9EAF7"/>
      </top>
      <bottom/>
      <diagonal/>
    </border>
    <border>
      <left style="thin">
        <color rgb="FFD9EAF7"/>
      </left>
      <right style="thin">
        <color rgb="FFD9EAF7"/>
      </right>
      <top style="thin">
        <color rgb="FFD9EAF7"/>
      </top>
      <bottom/>
      <diagonal/>
    </border>
    <border>
      <left style="thin">
        <color rgb="FFD9EAF7"/>
      </left>
      <right/>
      <top style="thin">
        <color rgb="FFD9EAF7"/>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89">
    <xf numFmtId="0" fontId="0" fillId="0" borderId="0" xfId="0"/>
    <xf numFmtId="0" fontId="0" fillId="0" borderId="0" xfId="0" applyAlignment="1" applyProtection="1">
      <alignment horizontal="center"/>
      <protection hidden="1"/>
    </xf>
    <xf numFmtId="0" fontId="0" fillId="0" borderId="0" xfId="0" applyProtection="1">
      <protection hidden="1"/>
    </xf>
    <xf numFmtId="0" fontId="5" fillId="0" borderId="0" xfId="0" applyFont="1" applyProtection="1">
      <protection hidden="1"/>
    </xf>
    <xf numFmtId="0" fontId="1" fillId="3" borderId="0" xfId="0" applyFont="1" applyFill="1" applyProtection="1">
      <protection hidden="1"/>
    </xf>
    <xf numFmtId="0" fontId="1" fillId="8" borderId="0" xfId="0" applyFont="1" applyFill="1" applyProtection="1">
      <protection hidden="1"/>
    </xf>
    <xf numFmtId="0" fontId="1" fillId="0" borderId="0" xfId="0" applyFont="1" applyAlignment="1" applyProtection="1">
      <alignment horizontal="center"/>
      <protection hidden="1"/>
    </xf>
    <xf numFmtId="164" fontId="8" fillId="8" borderId="0" xfId="0" applyNumberFormat="1" applyFont="1" applyFill="1" applyAlignment="1" applyProtection="1">
      <alignment horizontal="center"/>
      <protection hidden="1"/>
    </xf>
    <xf numFmtId="0" fontId="0" fillId="5" borderId="0" xfId="0" applyFill="1" applyAlignment="1" applyProtection="1">
      <alignment horizontal="center"/>
      <protection hidden="1"/>
    </xf>
    <xf numFmtId="20" fontId="7" fillId="9" borderId="0" xfId="0" quotePrefix="1" applyNumberFormat="1" applyFont="1" applyFill="1" applyAlignment="1" applyProtection="1">
      <alignment horizontal="right"/>
      <protection hidden="1"/>
    </xf>
    <xf numFmtId="1" fontId="7" fillId="9" borderId="0" xfId="0" applyNumberFormat="1" applyFont="1" applyFill="1" applyAlignment="1" applyProtection="1">
      <alignment horizontal="left"/>
      <protection hidden="1"/>
    </xf>
    <xf numFmtId="0" fontId="2" fillId="0" borderId="0" xfId="0" applyFont="1" applyProtection="1">
      <protection hidden="1"/>
    </xf>
    <xf numFmtId="165" fontId="0" fillId="10" borderId="0" xfId="0" applyNumberFormat="1" applyFill="1" applyAlignment="1" applyProtection="1">
      <alignment horizontal="center"/>
      <protection hidden="1"/>
    </xf>
    <xf numFmtId="165" fontId="0" fillId="0" borderId="0" xfId="0" applyNumberFormat="1" applyAlignment="1" applyProtection="1">
      <alignment horizontal="center"/>
      <protection hidden="1"/>
    </xf>
    <xf numFmtId="165" fontId="1" fillId="10" borderId="0" xfId="0" applyNumberFormat="1" applyFont="1" applyFill="1" applyAlignment="1" applyProtection="1">
      <alignment horizontal="center"/>
      <protection hidden="1"/>
    </xf>
    <xf numFmtId="165" fontId="1" fillId="0" borderId="0" xfId="0" applyNumberFormat="1" applyFont="1" applyAlignment="1" applyProtection="1">
      <alignment horizontal="center"/>
      <protection hidden="1"/>
    </xf>
    <xf numFmtId="165" fontId="0" fillId="5" borderId="0" xfId="0" applyNumberFormat="1" applyFill="1" applyAlignment="1" applyProtection="1">
      <alignment horizontal="center"/>
      <protection hidden="1"/>
    </xf>
    <xf numFmtId="165" fontId="1" fillId="5" borderId="0" xfId="0" applyNumberFormat="1" applyFont="1" applyFill="1" applyAlignment="1" applyProtection="1">
      <alignment horizontal="center"/>
      <protection hidden="1"/>
    </xf>
    <xf numFmtId="165" fontId="3" fillId="0" borderId="0" xfId="0" applyNumberFormat="1" applyFont="1" applyAlignment="1" applyProtection="1">
      <alignment horizontal="center"/>
      <protection hidden="1"/>
    </xf>
    <xf numFmtId="0" fontId="0" fillId="13" borderId="0" xfId="0" applyFill="1" applyAlignment="1" applyProtection="1">
      <alignment horizontal="center"/>
      <protection locked="0"/>
    </xf>
    <xf numFmtId="0" fontId="0" fillId="11" borderId="0" xfId="0" applyFill="1" applyAlignment="1" applyProtection="1">
      <alignment horizontal="center"/>
      <protection locked="0"/>
    </xf>
    <xf numFmtId="165" fontId="7" fillId="4" borderId="0" xfId="0" applyNumberFormat="1" applyFont="1" applyFill="1" applyAlignment="1" applyProtection="1">
      <alignment horizontal="center"/>
      <protection locked="0"/>
    </xf>
    <xf numFmtId="0" fontId="10" fillId="0" borderId="0" xfId="0" applyFont="1" applyProtection="1">
      <protection hidden="1"/>
    </xf>
    <xf numFmtId="0" fontId="1" fillId="15" borderId="0" xfId="0" applyFont="1" applyFill="1" applyAlignment="1" applyProtection="1">
      <alignment horizontal="center"/>
      <protection hidden="1"/>
    </xf>
    <xf numFmtId="0" fontId="1" fillId="4" borderId="0" xfId="0" applyFont="1" applyFill="1" applyAlignment="1" applyProtection="1">
      <alignment horizontal="center"/>
      <protection hidden="1"/>
    </xf>
    <xf numFmtId="0" fontId="24" fillId="0" borderId="0" xfId="0" applyFont="1" applyProtection="1">
      <protection hidden="1"/>
    </xf>
    <xf numFmtId="0" fontId="20" fillId="23" borderId="12" xfId="0" applyFont="1" applyFill="1" applyBorder="1" applyProtection="1">
      <protection hidden="1"/>
    </xf>
    <xf numFmtId="4" fontId="21" fillId="24" borderId="12" xfId="0" applyNumberFormat="1" applyFont="1" applyFill="1" applyBorder="1" applyAlignment="1" applyProtection="1">
      <alignment horizontal="center"/>
      <protection locked="0"/>
    </xf>
    <xf numFmtId="166" fontId="21" fillId="24" borderId="12" xfId="0" applyNumberFormat="1" applyFont="1" applyFill="1" applyBorder="1" applyAlignment="1" applyProtection="1">
      <alignment horizontal="center"/>
      <protection locked="0"/>
    </xf>
    <xf numFmtId="0" fontId="21" fillId="24" borderId="12" xfId="0" applyFont="1" applyFill="1" applyBorder="1" applyAlignment="1" applyProtection="1">
      <alignment horizontal="center"/>
      <protection locked="0"/>
    </xf>
    <xf numFmtId="167" fontId="21" fillId="24" borderId="12" xfId="0" applyNumberFormat="1" applyFont="1" applyFill="1" applyBorder="1" applyAlignment="1" applyProtection="1">
      <alignment horizontal="center"/>
      <protection locked="0"/>
    </xf>
    <xf numFmtId="0" fontId="21" fillId="24" borderId="12" xfId="0" applyFont="1" applyFill="1" applyBorder="1" applyAlignment="1" applyProtection="1">
      <alignment horizontal="center" wrapText="1"/>
      <protection locked="0"/>
    </xf>
    <xf numFmtId="0" fontId="20" fillId="0" borderId="12" xfId="0" applyFont="1" applyBorder="1" applyProtection="1">
      <protection hidden="1"/>
    </xf>
    <xf numFmtId="168" fontId="25" fillId="25" borderId="12" xfId="0" applyNumberFormat="1" applyFont="1" applyFill="1" applyBorder="1" applyAlignment="1" applyProtection="1">
      <alignment horizontal="center"/>
      <protection hidden="1"/>
    </xf>
    <xf numFmtId="3" fontId="21" fillId="24" borderId="12" xfId="0" applyNumberFormat="1" applyFont="1" applyFill="1" applyBorder="1" applyAlignment="1" applyProtection="1">
      <alignment horizontal="center"/>
      <protection locked="0"/>
    </xf>
    <xf numFmtId="4" fontId="20" fillId="0" borderId="12" xfId="0" applyNumberFormat="1" applyFont="1" applyBorder="1" applyAlignment="1" applyProtection="1">
      <alignment horizontal="center"/>
      <protection hidden="1"/>
    </xf>
    <xf numFmtId="3" fontId="20" fillId="0" borderId="12" xfId="0" applyNumberFormat="1" applyFont="1" applyBorder="1" applyAlignment="1" applyProtection="1">
      <alignment horizontal="center"/>
      <protection hidden="1"/>
    </xf>
    <xf numFmtId="167" fontId="20" fillId="0" borderId="12" xfId="0" applyNumberFormat="1" applyFont="1" applyBorder="1" applyAlignment="1" applyProtection="1">
      <alignment horizontal="center"/>
      <protection hidden="1"/>
    </xf>
    <xf numFmtId="0" fontId="22" fillId="26" borderId="12" xfId="0" applyFont="1" applyFill="1" applyBorder="1" applyProtection="1">
      <protection hidden="1"/>
    </xf>
    <xf numFmtId="4" fontId="22" fillId="26" borderId="12" xfId="0" applyNumberFormat="1" applyFont="1" applyFill="1" applyBorder="1" applyAlignment="1" applyProtection="1">
      <alignment horizontal="center"/>
      <protection hidden="1"/>
    </xf>
    <xf numFmtId="0" fontId="15" fillId="0" borderId="0" xfId="0" applyFont="1" applyAlignment="1" applyProtection="1">
      <alignment vertical="center"/>
      <protection hidden="1"/>
    </xf>
    <xf numFmtId="0" fontId="15" fillId="0" borderId="2" xfId="0" applyFont="1" applyBorder="1" applyAlignment="1" applyProtection="1">
      <alignment horizontal="center" vertical="center"/>
      <protection hidden="1"/>
    </xf>
    <xf numFmtId="0" fontId="15" fillId="0" borderId="3" xfId="0" applyFont="1" applyBorder="1" applyAlignment="1" applyProtection="1">
      <alignment horizontal="center" vertical="center"/>
      <protection hidden="1"/>
    </xf>
    <xf numFmtId="0" fontId="15" fillId="0" borderId="4" xfId="0" applyFont="1" applyBorder="1" applyAlignment="1" applyProtection="1">
      <alignment horizontal="center" vertical="center"/>
      <protection hidden="1"/>
    </xf>
    <xf numFmtId="0" fontId="15" fillId="0" borderId="0" xfId="0" applyFont="1" applyAlignment="1" applyProtection="1">
      <alignment horizontal="center" vertical="center"/>
      <protection hidden="1"/>
    </xf>
    <xf numFmtId="49" fontId="15" fillId="0" borderId="5" xfId="0" applyNumberFormat="1" applyFont="1" applyBorder="1" applyAlignment="1" applyProtection="1">
      <alignment horizontal="left" vertical="center"/>
      <protection hidden="1"/>
    </xf>
    <xf numFmtId="49" fontId="15" fillId="0" borderId="6" xfId="0" applyNumberFormat="1" applyFont="1" applyBorder="1" applyAlignment="1" applyProtection="1">
      <alignment horizontal="center" vertical="center"/>
      <protection hidden="1"/>
    </xf>
    <xf numFmtId="49" fontId="15" fillId="0" borderId="7" xfId="0" applyNumberFormat="1" applyFont="1" applyBorder="1" applyAlignment="1" applyProtection="1">
      <alignment horizontal="center" vertical="center" wrapText="1"/>
      <protection hidden="1"/>
    </xf>
    <xf numFmtId="49" fontId="15" fillId="0" borderId="8" xfId="0" applyNumberFormat="1" applyFont="1" applyBorder="1" applyAlignment="1" applyProtection="1">
      <alignment horizontal="left" vertical="center"/>
      <protection hidden="1"/>
    </xf>
    <xf numFmtId="49" fontId="15" fillId="0" borderId="9" xfId="0" applyNumberFormat="1" applyFont="1" applyBorder="1" applyAlignment="1" applyProtection="1">
      <alignment horizontal="center" vertical="center"/>
      <protection hidden="1"/>
    </xf>
    <xf numFmtId="49" fontId="15" fillId="0" borderId="10" xfId="0" applyNumberFormat="1" applyFont="1" applyBorder="1" applyAlignment="1" applyProtection="1">
      <alignment horizontal="center" vertical="center" wrapText="1"/>
      <protection hidden="1"/>
    </xf>
    <xf numFmtId="0" fontId="15" fillId="0" borderId="0" xfId="0" applyFont="1" applyAlignment="1" applyProtection="1">
      <alignment horizontal="left" vertical="center"/>
      <protection hidden="1"/>
    </xf>
    <xf numFmtId="0" fontId="15" fillId="0" borderId="2" xfId="0" applyFont="1" applyBorder="1" applyAlignment="1" applyProtection="1">
      <alignment horizontal="left" vertical="center"/>
      <protection hidden="1"/>
    </xf>
    <xf numFmtId="0" fontId="13" fillId="20" borderId="3" xfId="0" applyFont="1" applyFill="1" applyBorder="1" applyAlignment="1" applyProtection="1">
      <alignment horizontal="center" vertical="center"/>
      <protection hidden="1"/>
    </xf>
    <xf numFmtId="49" fontId="15" fillId="21" borderId="6" xfId="0" applyNumberFormat="1" applyFont="1" applyFill="1" applyBorder="1" applyAlignment="1" applyProtection="1">
      <alignment vertical="center"/>
      <protection hidden="1"/>
    </xf>
    <xf numFmtId="49" fontId="15" fillId="0" borderId="6" xfId="0" applyNumberFormat="1" applyFont="1" applyBorder="1" applyAlignment="1" applyProtection="1">
      <alignment vertical="center"/>
      <protection hidden="1"/>
    </xf>
    <xf numFmtId="49" fontId="15" fillId="0" borderId="7" xfId="0" applyNumberFormat="1" applyFont="1" applyBorder="1" applyAlignment="1" applyProtection="1">
      <alignment vertical="center" wrapText="1"/>
      <protection hidden="1"/>
    </xf>
    <xf numFmtId="49" fontId="15" fillId="21" borderId="9" xfId="0" applyNumberFormat="1" applyFont="1" applyFill="1" applyBorder="1" applyAlignment="1" applyProtection="1">
      <alignment vertical="center"/>
      <protection hidden="1"/>
    </xf>
    <xf numFmtId="49" fontId="15" fillId="0" borderId="9" xfId="0" applyNumberFormat="1" applyFont="1" applyBorder="1" applyAlignment="1" applyProtection="1">
      <alignment vertical="center"/>
      <protection hidden="1"/>
    </xf>
    <xf numFmtId="49" fontId="15" fillId="0" borderId="10" xfId="0" applyNumberFormat="1" applyFont="1" applyBorder="1" applyAlignment="1" applyProtection="1">
      <alignment vertical="center" wrapText="1"/>
      <protection hidden="1"/>
    </xf>
    <xf numFmtId="0" fontId="4" fillId="2" borderId="0" xfId="0" applyFont="1" applyFill="1" applyAlignment="1" applyProtection="1">
      <alignment horizontal="center"/>
      <protection hidden="1"/>
    </xf>
    <xf numFmtId="0" fontId="0" fillId="0" borderId="0" xfId="0" applyAlignment="1" applyProtection="1">
      <alignment horizontal="center"/>
      <protection hidden="1"/>
    </xf>
    <xf numFmtId="0" fontId="9" fillId="12" borderId="0" xfId="0" applyFont="1" applyFill="1" applyAlignment="1" applyProtection="1">
      <alignment horizontal="left" vertical="top" wrapText="1"/>
      <protection hidden="1"/>
    </xf>
    <xf numFmtId="0" fontId="0" fillId="0" borderId="0" xfId="0" applyAlignment="1" applyProtection="1">
      <alignment horizontal="left" vertical="top" wrapText="1"/>
      <protection hidden="1"/>
    </xf>
    <xf numFmtId="0" fontId="1" fillId="0" borderId="0" xfId="0" applyFont="1" applyAlignment="1" applyProtection="1">
      <alignment horizontal="right"/>
      <protection hidden="1"/>
    </xf>
    <xf numFmtId="0" fontId="0" fillId="0" borderId="0" xfId="0" applyAlignment="1" applyProtection="1">
      <alignment horizontal="right"/>
      <protection hidden="1"/>
    </xf>
    <xf numFmtId="0" fontId="6" fillId="7" borderId="0" xfId="0" applyFont="1" applyFill="1" applyProtection="1">
      <protection hidden="1"/>
    </xf>
    <xf numFmtId="0" fontId="0" fillId="0" borderId="0" xfId="0" applyProtection="1">
      <protection hidden="1"/>
    </xf>
    <xf numFmtId="0" fontId="6" fillId="6" borderId="0" xfId="0" applyFont="1" applyFill="1" applyProtection="1">
      <protection hidden="1"/>
    </xf>
    <xf numFmtId="0" fontId="1" fillId="0" borderId="1" xfId="0" applyFont="1" applyBorder="1" applyProtection="1">
      <protection hidden="1"/>
    </xf>
    <xf numFmtId="0" fontId="0" fillId="0" borderId="1" xfId="0" applyBorder="1" applyProtection="1">
      <protection hidden="1"/>
    </xf>
    <xf numFmtId="0" fontId="11" fillId="5" borderId="1" xfId="0" quotePrefix="1" applyFont="1" applyFill="1" applyBorder="1" applyAlignment="1" applyProtection="1">
      <alignment horizontal="center"/>
      <protection hidden="1"/>
    </xf>
    <xf numFmtId="0" fontId="0" fillId="0" borderId="1" xfId="0" applyBorder="1" applyAlignment="1" applyProtection="1">
      <alignment horizontal="center"/>
      <protection hidden="1"/>
    </xf>
    <xf numFmtId="0" fontId="12" fillId="18" borderId="1" xfId="0" applyFont="1" applyFill="1" applyBorder="1" applyAlignment="1" applyProtection="1">
      <alignment horizontal="center"/>
      <protection hidden="1"/>
    </xf>
    <xf numFmtId="0" fontId="0" fillId="12" borderId="1" xfId="0" applyFill="1" applyBorder="1" applyAlignment="1" applyProtection="1">
      <alignment horizontal="center"/>
      <protection hidden="1"/>
    </xf>
    <xf numFmtId="0" fontId="0" fillId="17" borderId="1" xfId="0" applyFill="1" applyBorder="1" applyAlignment="1" applyProtection="1">
      <alignment horizontal="center"/>
      <protection hidden="1"/>
    </xf>
    <xf numFmtId="0" fontId="6" fillId="2" borderId="0" xfId="0" applyFont="1" applyFill="1" applyAlignment="1" applyProtection="1">
      <alignment horizontal="center"/>
      <protection hidden="1"/>
    </xf>
    <xf numFmtId="0" fontId="6" fillId="16" borderId="0" xfId="0" applyFont="1" applyFill="1" applyAlignment="1" applyProtection="1">
      <alignment horizontal="center"/>
      <protection hidden="1"/>
    </xf>
    <xf numFmtId="0" fontId="6" fillId="14" borderId="0" xfId="0" applyFont="1" applyFill="1" applyProtection="1">
      <protection hidden="1"/>
    </xf>
    <xf numFmtId="0" fontId="1" fillId="15" borderId="0" xfId="0" applyFont="1" applyFill="1" applyAlignment="1" applyProtection="1">
      <alignment horizontal="center"/>
      <protection hidden="1"/>
    </xf>
    <xf numFmtId="0" fontId="1" fillId="4" borderId="0" xfId="0" applyFont="1" applyFill="1" applyAlignment="1" applyProtection="1">
      <alignment horizontal="center"/>
      <protection hidden="1"/>
    </xf>
    <xf numFmtId="0" fontId="13" fillId="19" borderId="0" xfId="0" applyFont="1" applyFill="1" applyAlignment="1" applyProtection="1">
      <alignment horizontal="center" vertical="center"/>
      <protection hidden="1"/>
    </xf>
    <xf numFmtId="0" fontId="14" fillId="0" borderId="0" xfId="0" applyFont="1" applyAlignment="1" applyProtection="1">
      <alignment horizontal="center" vertical="center" wrapText="1"/>
      <protection hidden="1"/>
    </xf>
    <xf numFmtId="0" fontId="13" fillId="19" borderId="0" xfId="0" applyFont="1" applyFill="1" applyAlignment="1" applyProtection="1">
      <alignment horizontal="left" vertical="center"/>
      <protection hidden="1"/>
    </xf>
    <xf numFmtId="0" fontId="23" fillId="0" borderId="0" xfId="0" applyFont="1" applyAlignment="1" applyProtection="1">
      <alignment horizontal="left"/>
      <protection hidden="1"/>
    </xf>
    <xf numFmtId="0" fontId="19" fillId="23" borderId="11" xfId="0" applyFont="1" applyFill="1" applyBorder="1" applyAlignment="1" applyProtection="1">
      <alignment horizontal="left" vertical="center"/>
      <protection hidden="1"/>
    </xf>
    <xf numFmtId="0" fontId="17" fillId="22" borderId="0" xfId="0" applyFont="1" applyFill="1" applyAlignment="1" applyProtection="1">
      <alignment horizontal="center" vertical="center"/>
      <protection hidden="1"/>
    </xf>
    <xf numFmtId="0" fontId="18" fillId="0" borderId="0" xfId="0" applyFont="1" applyAlignment="1" applyProtection="1">
      <alignment horizontal="center"/>
      <protection hidden="1"/>
    </xf>
    <xf numFmtId="0" fontId="20" fillId="0" borderId="12" xfId="0" applyFont="1" applyBorder="1" applyAlignment="1" applyProtection="1">
      <alignment horizontal="center" wrapText="1"/>
      <protection hidden="1"/>
    </xf>
  </cellXfs>
  <cellStyles count="1">
    <cellStyle name="Normal" xfId="0" builtinId="0"/>
  </cellStyles>
  <dxfs count="22">
    <dxf>
      <font>
        <sz val="10"/>
        <name val="Calibri"/>
      </font>
      <numFmt numFmtId="30" formatCode="@"/>
      <alignment vertical="center" wrapText="1"/>
      <border diagonalUp="0" diagonalDown="0">
        <left style="thin">
          <color rgb="FFD9EAF7"/>
        </left>
        <right/>
        <top style="thin">
          <color rgb="FFD9EAF7"/>
        </top>
        <bottom style="thin">
          <color rgb="FFD9EAF7"/>
        </bottom>
        <vertical style="thin">
          <color rgb="FFD9EAF7"/>
        </vertical>
        <horizontal style="thin">
          <color rgb="FFD9EAF7"/>
        </horizontal>
      </border>
      <protection locked="1" hidden="1"/>
    </dxf>
    <dxf>
      <font>
        <sz val="10"/>
        <name val="Calibri"/>
      </font>
      <numFmt numFmtId="30" formatCode="@"/>
      <alignment vertical="center"/>
      <border diagonalUp="0" diagonalDown="0">
        <left style="thin">
          <color rgb="FFD9EAF7"/>
        </left>
        <right style="thin">
          <color rgb="FFD9EAF7"/>
        </right>
        <top style="thin">
          <color rgb="FFD9EAF7"/>
        </top>
        <bottom style="thin">
          <color rgb="FFD9EAF7"/>
        </bottom>
        <vertical style="thin">
          <color rgb="FFD9EAF7"/>
        </vertical>
        <horizontal style="thin">
          <color rgb="FFD9EAF7"/>
        </horizontal>
      </border>
      <protection locked="1" hidden="1"/>
    </dxf>
    <dxf>
      <font>
        <sz val="10"/>
        <name val="Calibri"/>
      </font>
      <numFmt numFmtId="30" formatCode="@"/>
      <alignment vertical="center"/>
      <border diagonalUp="0" diagonalDown="0">
        <left style="thin">
          <color rgb="FFD9EAF7"/>
        </left>
        <right style="thin">
          <color rgb="FFD9EAF7"/>
        </right>
        <top style="thin">
          <color rgb="FFD9EAF7"/>
        </top>
        <bottom style="thin">
          <color rgb="FFD9EAF7"/>
        </bottom>
        <vertical style="thin">
          <color rgb="FFD9EAF7"/>
        </vertical>
        <horizontal style="thin">
          <color rgb="FFD9EAF7"/>
        </horizontal>
      </border>
      <protection locked="1" hidden="1"/>
    </dxf>
    <dxf>
      <font>
        <sz val="10"/>
        <name val="Calibri"/>
      </font>
      <numFmt numFmtId="30" formatCode="@"/>
      <alignment vertical="center"/>
      <border diagonalUp="0" diagonalDown="0">
        <left style="thin">
          <color rgb="FFD9EAF7"/>
        </left>
        <right style="thin">
          <color rgb="FFD9EAF7"/>
        </right>
        <top style="thin">
          <color rgb="FFD9EAF7"/>
        </top>
        <bottom style="thin">
          <color rgb="FFD9EAF7"/>
        </bottom>
        <vertical style="thin">
          <color rgb="FFD9EAF7"/>
        </vertical>
        <horizontal style="thin">
          <color rgb="FFD9EAF7"/>
        </horizontal>
      </border>
      <protection locked="1" hidden="1"/>
    </dxf>
    <dxf>
      <font>
        <sz val="10"/>
        <name val="Calibri"/>
      </font>
      <numFmt numFmtId="30" formatCode="@"/>
      <alignment vertical="center"/>
      <border diagonalUp="0" diagonalDown="0">
        <left style="thin">
          <color rgb="FFD9EAF7"/>
        </left>
        <right style="thin">
          <color rgb="FFD9EAF7"/>
        </right>
        <top style="thin">
          <color rgb="FFD9EAF7"/>
        </top>
        <bottom style="thin">
          <color rgb="FFD9EAF7"/>
        </bottom>
        <vertical style="thin">
          <color rgb="FFD9EAF7"/>
        </vertical>
        <horizontal style="thin">
          <color rgb="FFD9EAF7"/>
        </horizontal>
      </border>
      <protection locked="1" hidden="1"/>
    </dxf>
    <dxf>
      <font>
        <sz val="10"/>
        <name val="Calibri"/>
      </font>
      <numFmt numFmtId="30" formatCode="@"/>
      <fill>
        <patternFill patternType="solid">
          <fgColor indexed="64"/>
          <bgColor rgb="FFEAF3F8"/>
        </patternFill>
      </fill>
      <alignment vertical="center"/>
      <border diagonalUp="0" diagonalDown="0">
        <left style="thin">
          <color rgb="FFD9EAF7"/>
        </left>
        <right style="thin">
          <color rgb="FFD9EAF7"/>
        </right>
        <top style="thin">
          <color rgb="FFD9EAF7"/>
        </top>
        <bottom style="thin">
          <color rgb="FFD9EAF7"/>
        </bottom>
        <vertical style="thin">
          <color rgb="FFD9EAF7"/>
        </vertical>
        <horizontal style="thin">
          <color rgb="FFD9EAF7"/>
        </horizontal>
      </border>
      <protection locked="1" hidden="1"/>
    </dxf>
    <dxf>
      <font>
        <sz val="10"/>
        <name val="Calibri"/>
      </font>
      <numFmt numFmtId="30" formatCode="@"/>
      <fill>
        <patternFill patternType="solid">
          <fgColor indexed="64"/>
          <bgColor rgb="FFEAF3F8"/>
        </patternFill>
      </fill>
      <alignment vertical="center"/>
      <border diagonalUp="0" diagonalDown="0">
        <left style="thin">
          <color rgb="FFD9EAF7"/>
        </left>
        <right style="thin">
          <color rgb="FFD9EAF7"/>
        </right>
        <top style="thin">
          <color rgb="FFD9EAF7"/>
        </top>
        <bottom style="thin">
          <color rgb="FFD9EAF7"/>
        </bottom>
        <vertical style="thin">
          <color rgb="FFD9EAF7"/>
        </vertical>
        <horizontal style="thin">
          <color rgb="FFD9EAF7"/>
        </horizontal>
      </border>
      <protection locked="1" hidden="1"/>
    </dxf>
    <dxf>
      <font>
        <sz val="10"/>
        <name val="Calibri"/>
      </font>
      <numFmt numFmtId="30" formatCode="@"/>
      <alignment horizontal="left" vertical="center"/>
      <border diagonalUp="0" diagonalDown="0">
        <left/>
        <right style="thin">
          <color rgb="FFD9EAF7"/>
        </right>
        <top style="thin">
          <color rgb="FFD9EAF7"/>
        </top>
        <bottom style="thin">
          <color rgb="FFD9EAF7"/>
        </bottom>
        <vertical style="thin">
          <color rgb="FFD9EAF7"/>
        </vertical>
        <horizontal style="thin">
          <color rgb="FFD9EAF7"/>
        </horizontal>
      </border>
      <protection locked="1" hidden="1"/>
    </dxf>
    <dxf>
      <border>
        <top style="thin">
          <color rgb="FFD9EAF7"/>
        </top>
      </border>
    </dxf>
    <dxf>
      <border diagonalUp="0" diagonalDown="0">
        <left/>
        <right/>
        <top style="thin">
          <color rgb="FF9ECAE1"/>
        </top>
        <bottom style="thin">
          <color rgb="FF9ECAE1"/>
        </bottom>
      </border>
    </dxf>
    <dxf>
      <font>
        <sz val="10"/>
        <name val="Calibri"/>
      </font>
      <numFmt numFmtId="30" formatCode="@"/>
      <alignment vertical="center"/>
      <protection locked="1" hidden="1"/>
    </dxf>
    <dxf>
      <border>
        <bottom style="thin">
          <color rgb="FFD9EAF7"/>
        </bottom>
      </border>
    </dxf>
    <dxf>
      <font>
        <sz val="10"/>
        <name val="Calibri"/>
      </font>
      <alignment horizontal="center" vertical="center"/>
      <border diagonalUp="0" diagonalDown="0">
        <left style="thin">
          <color rgb="FFD9EAF7"/>
        </left>
        <right style="thin">
          <color rgb="FFD9EAF7"/>
        </right>
        <top/>
        <bottom/>
        <vertical style="thin">
          <color rgb="FFD9EAF7"/>
        </vertical>
        <horizontal style="thin">
          <color rgb="FFD9EAF7"/>
        </horizontal>
      </border>
      <protection locked="1" hidden="1"/>
    </dxf>
    <dxf>
      <font>
        <sz val="10"/>
        <name val="Calibri"/>
      </font>
      <numFmt numFmtId="30" formatCode="@"/>
      <alignment horizontal="center" vertical="center" wrapText="1"/>
      <border diagonalUp="0" diagonalDown="0">
        <left style="thin">
          <color rgb="FFD9EAF7"/>
        </left>
        <right/>
        <top style="thin">
          <color rgb="FFD9EAF7"/>
        </top>
        <bottom style="thin">
          <color rgb="FFD9EAF7"/>
        </bottom>
        <vertical style="thin">
          <color rgb="FFD9EAF7"/>
        </vertical>
        <horizontal style="thin">
          <color rgb="FFD9EAF7"/>
        </horizontal>
      </border>
      <protection locked="1" hidden="1"/>
    </dxf>
    <dxf>
      <font>
        <sz val="10"/>
        <name val="Calibri"/>
      </font>
      <numFmt numFmtId="30" formatCode="@"/>
      <alignment horizontal="center" vertical="center"/>
      <border diagonalUp="0" diagonalDown="0">
        <left style="thin">
          <color rgb="FFD9EAF7"/>
        </left>
        <right style="thin">
          <color rgb="FFD9EAF7"/>
        </right>
        <top style="thin">
          <color rgb="FFD9EAF7"/>
        </top>
        <bottom style="thin">
          <color rgb="FFD9EAF7"/>
        </bottom>
        <vertical style="thin">
          <color rgb="FFD9EAF7"/>
        </vertical>
        <horizontal style="thin">
          <color rgb="FFD9EAF7"/>
        </horizontal>
      </border>
      <protection locked="1" hidden="1"/>
    </dxf>
    <dxf>
      <font>
        <sz val="10"/>
        <name val="Calibri"/>
      </font>
      <numFmt numFmtId="30" formatCode="@"/>
      <alignment horizontal="center" vertical="center"/>
      <border diagonalUp="0" diagonalDown="0">
        <left style="thin">
          <color rgb="FFD9EAF7"/>
        </left>
        <right style="thin">
          <color rgb="FFD9EAF7"/>
        </right>
        <top style="thin">
          <color rgb="FFD9EAF7"/>
        </top>
        <bottom style="thin">
          <color rgb="FFD9EAF7"/>
        </bottom>
        <vertical style="thin">
          <color rgb="FFD9EAF7"/>
        </vertical>
        <horizontal style="thin">
          <color rgb="FFD9EAF7"/>
        </horizontal>
      </border>
      <protection locked="1" hidden="1"/>
    </dxf>
    <dxf>
      <font>
        <sz val="10"/>
        <name val="Calibri"/>
      </font>
      <numFmt numFmtId="30" formatCode="@"/>
      <alignment horizontal="left" vertical="center"/>
      <border diagonalUp="0" diagonalDown="0">
        <left/>
        <right style="thin">
          <color rgb="FFD9EAF7"/>
        </right>
        <top style="thin">
          <color rgb="FFD9EAF7"/>
        </top>
        <bottom style="thin">
          <color rgb="FFD9EAF7"/>
        </bottom>
        <vertical style="thin">
          <color rgb="FFD9EAF7"/>
        </vertical>
        <horizontal style="thin">
          <color rgb="FFD9EAF7"/>
        </horizontal>
      </border>
      <protection locked="1" hidden="1"/>
    </dxf>
    <dxf>
      <border>
        <top style="thin">
          <color rgb="FFD9EAF7"/>
        </top>
      </border>
    </dxf>
    <dxf>
      <border diagonalUp="0" diagonalDown="0">
        <left/>
        <right/>
        <top style="thin">
          <color rgb="FF9ECAE1"/>
        </top>
        <bottom style="thin">
          <color rgb="FF9ECAE1"/>
        </bottom>
      </border>
    </dxf>
    <dxf>
      <font>
        <sz val="10"/>
        <name val="Calibri"/>
      </font>
      <numFmt numFmtId="30" formatCode="@"/>
      <alignment horizontal="center" vertical="center"/>
      <protection locked="1" hidden="1"/>
    </dxf>
    <dxf>
      <border>
        <bottom style="thin">
          <color rgb="FFD9EAF7"/>
        </bottom>
      </border>
    </dxf>
    <dxf>
      <font>
        <sz val="10"/>
        <name val="Calibri"/>
      </font>
      <alignment horizontal="center" vertical="center"/>
      <border diagonalUp="0" diagonalDown="0">
        <left style="thin">
          <color rgb="FFD9EAF7"/>
        </left>
        <right style="thin">
          <color rgb="FFD9EAF7"/>
        </right>
        <top/>
        <bottom/>
        <vertical style="thin">
          <color rgb="FFD9EAF7"/>
        </vertical>
        <horizontal style="thin">
          <color rgb="FFD9EAF7"/>
        </horizontal>
      </border>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1CA64C-BAD0-4B16-917C-41B5BD75E911}" name="WeeklyCEST" displayName="WeeklyCEST" ref="A5:D15" totalsRowShown="0" headerRowDxfId="21" dataDxfId="19" headerRowBorderDxfId="20" tableBorderDxfId="18" totalsRowBorderDxfId="17">
  <autoFilter ref="A5:D15" xr:uid="{A41CA64C-BAD0-4B16-917C-41B5BD75E911}"/>
  <tableColumns count="4">
    <tableColumn id="1" xr3:uid="{ACA31756-34E4-40DB-9BA0-31D4EC8E484F}" name="Producto" dataDxfId="16"/>
    <tableColumn id="2" xr3:uid="{298586DB-3E40-4117-B1F9-471872680F4E}" name="Apertura Weekly" dataDxfId="15"/>
    <tableColumn id="3" xr3:uid="{01542770-12B0-44AD-BDC5-A22730071D35}" name="Cierre Weekly" dataDxfId="14"/>
    <tableColumn id="4" xr3:uid="{37F68939-B38C-4902-B442-001FF380F115}" name="Notas" dataDxfId="13"/>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7B16B98-5133-491E-9739-ED65F32935F3}" name="HorariosCEST" displayName="HorariosCEST" ref="A18:H27" totalsRowShown="0" headerRowDxfId="12" dataDxfId="10" headerRowBorderDxfId="11" tableBorderDxfId="9" totalsRowBorderDxfId="8">
  <autoFilter ref="A18:H27" xr:uid="{17B16B98-5133-491E-9739-ED65F32935F3}"/>
  <tableColumns count="8">
    <tableColumn id="1" xr3:uid="{5F78964A-8288-4ACA-B3D1-00A297AC4784}" name="Producto" dataDxfId="7"/>
    <tableColumn id="2" xr3:uid="{981B0EE9-F485-4A8B-A847-6831CAA1E3DB}" name="Weekly Apertura" dataDxfId="6"/>
    <tableColumn id="3" xr3:uid="{32038A6E-85ED-4194-B171-4CD8DEFCB9C8}" name="Weekly Cierre" dataDxfId="5"/>
    <tableColumn id="4" xr3:uid="{343CF46F-E6F8-471C-98C6-95147E18CCB5}" name="Daily Apertura" dataDxfId="4"/>
    <tableColumn id="5" xr3:uid="{C2F23963-AC39-456B-B950-E70A14CE225E}" name="Daily Cierre" dataDxfId="3"/>
    <tableColumn id="6" xr3:uid="{21A3B760-6286-41F5-B40A-0519B89996CC}" name="Monthly Apertura" dataDxfId="2"/>
    <tableColumn id="7" xr3:uid="{13C29864-C935-438F-BBE3-43C3A1E3B4BB}" name="Monthly Cierre" dataDxfId="1"/>
    <tableColumn id="8" xr3:uid="{C33F1CA7-3305-49DE-AB17-952A054746F7}" name="Nota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81202-933B-4748-81FD-E0A777A0173C}">
  <sheetPr codeName="Hoja1"/>
  <dimension ref="A1:I26"/>
  <sheetViews>
    <sheetView workbookViewId="0">
      <selection activeCell="C3" sqref="C3"/>
    </sheetView>
  </sheetViews>
  <sheetFormatPr baseColWidth="10" defaultRowHeight="14.4" x14ac:dyDescent="0.55000000000000004"/>
  <cols>
    <col min="1" max="1" width="49" style="2" customWidth="1"/>
    <col min="2" max="2" width="34.3125" style="2" customWidth="1"/>
    <col min="3" max="3" width="24.5234375" style="2" customWidth="1"/>
    <col min="4" max="4" width="45.578125" style="2" customWidth="1"/>
    <col min="5" max="5" width="6.89453125" style="2" customWidth="1"/>
    <col min="6" max="6" width="8.3671875" style="2" customWidth="1"/>
    <col min="7" max="7" width="5.41796875" style="2" customWidth="1"/>
    <col min="8" max="16384" width="10.9453125" style="2"/>
  </cols>
  <sheetData>
    <row r="1" spans="1:9" ht="25" customHeight="1" x14ac:dyDescent="0.65">
      <c r="A1" s="60" t="s">
        <v>34</v>
      </c>
      <c r="B1" s="61"/>
      <c r="C1" s="61"/>
      <c r="D1" s="61"/>
      <c r="E1" s="61"/>
      <c r="H1" s="3"/>
      <c r="I1" s="3"/>
    </row>
    <row r="2" spans="1:9" x14ac:dyDescent="0.55000000000000004">
      <c r="A2" s="4" t="s">
        <v>15</v>
      </c>
      <c r="B2" s="4" t="s">
        <v>0</v>
      </c>
      <c r="C2" s="4" t="s">
        <v>11</v>
      </c>
      <c r="D2" s="4" t="s">
        <v>1</v>
      </c>
      <c r="H2" s="3" t="s">
        <v>3</v>
      </c>
      <c r="I2" s="3">
        <f>ROUND($B$3 * 0.002, 4)</f>
        <v>58.607999999999997</v>
      </c>
    </row>
    <row r="3" spans="1:9" x14ac:dyDescent="0.55000000000000004">
      <c r="A3" s="19" t="s">
        <v>72</v>
      </c>
      <c r="B3" s="19">
        <v>29304</v>
      </c>
      <c r="C3" s="20" t="s">
        <v>12</v>
      </c>
      <c r="D3" s="20" t="s">
        <v>6</v>
      </c>
      <c r="H3" s="3" t="s">
        <v>4</v>
      </c>
      <c r="I3" s="3">
        <f>ROUND($B$3 * 0.0016, 4)</f>
        <v>46.886400000000002</v>
      </c>
    </row>
    <row r="4" spans="1:9" x14ac:dyDescent="0.55000000000000004">
      <c r="H4" s="3" t="s">
        <v>5</v>
      </c>
      <c r="I4" s="3">
        <f>ROUND($B$3 * 0.001, 4)</f>
        <v>29.303999999999998</v>
      </c>
    </row>
    <row r="5" spans="1:9" x14ac:dyDescent="0.55000000000000004">
      <c r="A5" s="68" t="s">
        <v>16</v>
      </c>
      <c r="B5" s="67"/>
      <c r="C5" s="67"/>
      <c r="D5" s="67"/>
      <c r="H5" s="3" t="s">
        <v>6</v>
      </c>
      <c r="I5" s="3">
        <f>ROUND($B$3 * 0.0006, 4)</f>
        <v>17.5824</v>
      </c>
    </row>
    <row r="6" spans="1:9" x14ac:dyDescent="0.55000000000000004">
      <c r="A6" s="5" t="s">
        <v>17</v>
      </c>
      <c r="B6" s="5" t="s">
        <v>18</v>
      </c>
      <c r="C6" s="5" t="s">
        <v>19</v>
      </c>
      <c r="D6" s="5" t="s">
        <v>20</v>
      </c>
      <c r="H6" s="3" t="s">
        <v>7</v>
      </c>
      <c r="I6" s="3">
        <f>ROUND($B$3 * 0.0004, 4)</f>
        <v>11.7216</v>
      </c>
    </row>
    <row r="7" spans="1:9" x14ac:dyDescent="0.55000000000000004">
      <c r="A7" s="1" t="s">
        <v>28</v>
      </c>
      <c r="B7" s="1" t="s">
        <v>31</v>
      </c>
      <c r="C7" s="12">
        <f>IF($C$3="CALL (Largo)", ROUND($B$3*0.985, IF($B$3&lt;20, 4, IF($B$3&lt;500, 2, 0))), ROUND($B$3*1.015, IF($B$3&lt;20, 4, IF($B$3&lt;500, 2, 0))))</f>
        <v>28864</v>
      </c>
      <c r="D7" s="13">
        <f>ABS($B$3-C7)</f>
        <v>440</v>
      </c>
    </row>
    <row r="8" spans="1:9" x14ac:dyDescent="0.55000000000000004">
      <c r="A8" s="6" t="s">
        <v>29</v>
      </c>
      <c r="B8" s="6" t="s">
        <v>21</v>
      </c>
      <c r="C8" s="14">
        <f>IF($C$3="CALL (Largo)", ROUND($B$3*0.978, IF($B$3&lt;20, 4, IF($B$3&lt;500, 2, 0))), ROUND($B$3*1.022, IF($B$3&lt;20, 4, IF($B$3&lt;500, 2, 0))))</f>
        <v>28659</v>
      </c>
      <c r="D8" s="15">
        <f>ABS($B$3-C8)</f>
        <v>645</v>
      </c>
    </row>
    <row r="9" spans="1:9" x14ac:dyDescent="0.55000000000000004">
      <c r="A9" s="1" t="s">
        <v>30</v>
      </c>
      <c r="B9" s="1" t="s">
        <v>22</v>
      </c>
      <c r="C9" s="12">
        <f>IF($C$3="CALL (Largo)", ROUND($B$3*0.973, IF($B$3&lt;20, 4, IF($B$3&lt;500, 2, 0))), ROUND($B$3*1.027, IF($B$3&lt;20, 4, IF($B$3&lt;500, 2, 0))))</f>
        <v>28513</v>
      </c>
      <c r="D9" s="13">
        <f>ABS($B$3-C9)</f>
        <v>791</v>
      </c>
    </row>
    <row r="11" spans="1:9" ht="15.6" x14ac:dyDescent="0.6">
      <c r="A11" s="64" t="s">
        <v>23</v>
      </c>
      <c r="B11" s="65"/>
      <c r="C11" s="21">
        <v>11030</v>
      </c>
      <c r="D11" s="7">
        <f>MIN(0.99, 0.5 + ((ABS(B3-C11)/B3)*100) * 0.2)</f>
        <v>0.99</v>
      </c>
    </row>
    <row r="13" spans="1:9" x14ac:dyDescent="0.55000000000000004">
      <c r="A13" s="4" t="s">
        <v>8</v>
      </c>
      <c r="B13" s="4" t="s">
        <v>27</v>
      </c>
      <c r="C13" s="4" t="s">
        <v>9</v>
      </c>
      <c r="D13" s="4" t="s">
        <v>13</v>
      </c>
    </row>
    <row r="14" spans="1:9" x14ac:dyDescent="0.55000000000000004">
      <c r="A14" s="16">
        <f>ABS(B3-C11)</f>
        <v>18274</v>
      </c>
      <c r="B14" s="16">
        <f>ROUND(VLOOKUP(D3, H2:I6, 2, FALSE) * MAX(1, 3 - ((ABS(B3-C11)/B3)/0.025)*2), 4)</f>
        <v>17.5824</v>
      </c>
      <c r="C14" s="17">
        <f>A14+B14</f>
        <v>18291.582399999999</v>
      </c>
      <c r="D14" s="8" t="s">
        <v>24</v>
      </c>
    </row>
    <row r="15" spans="1:9" ht="15.6" x14ac:dyDescent="0.6">
      <c r="A15" s="64" t="s">
        <v>26</v>
      </c>
      <c r="B15" s="65"/>
      <c r="C15" s="9" t="s">
        <v>10</v>
      </c>
      <c r="D15" s="10">
        <f>ROUND(B3/C14, 0)</f>
        <v>2</v>
      </c>
    </row>
    <row r="17" spans="1:4" x14ac:dyDescent="0.55000000000000004">
      <c r="A17" s="66" t="s">
        <v>25</v>
      </c>
      <c r="B17" s="67"/>
      <c r="C17" s="67"/>
      <c r="D17" s="67"/>
    </row>
    <row r="18" spans="1:4" x14ac:dyDescent="0.55000000000000004">
      <c r="A18" s="2" t="str">
        <f>"Si el mercado cae un 5% en tu CONTRA (" &amp; ROUND(B3*0.05, 4) &amp; " ptos):"</f>
        <v>Si el mercado cae un 5% en tu CONTRA (1465,2 ptos):</v>
      </c>
      <c r="B18" s="2" t="s">
        <v>33</v>
      </c>
      <c r="C18" s="11" t="str">
        <f>"-" &amp; ROUND(B3*0.05, 4) &amp; " Puntos (Margin Call)"</f>
        <v>-1465,2 Puntos (Margin Call)</v>
      </c>
      <c r="D18" s="2" t="str">
        <f>"-&gt; Con la opción SÓLO pierdes la Prima (" &amp; ROUND(C14, 4) &amp; " pts)"</f>
        <v>-&gt; Con la opción SÓLO pierdes la Prima (18291,5824 pts)</v>
      </c>
    </row>
    <row r="19" spans="1:4" x14ac:dyDescent="0.55000000000000004">
      <c r="A19" s="2" t="str">
        <f>"Si el mercado sube o baja un 1.5% a tu FAVOR (" &amp; ROUND(B3*0.015, 4) &amp; " ptos):"</f>
        <v>Si el mercado sube o baja un 1.5% a tu FAVOR (439,56 ptos):</v>
      </c>
      <c r="B19" s="2" t="s">
        <v>14</v>
      </c>
      <c r="C19" s="18">
        <f>((A14+ROUND(B3*0.015, 4))-C14)</f>
        <v>421.97760000000198</v>
      </c>
      <c r="D19" s="2" t="str">
        <f>"(Has capturado " &amp; ROUND(B3*0.015, 4) &amp; " puntos menos los " &amp; ROUND(B14, 4) &amp; " de Theta)"</f>
        <v>(Has capturado 439,56 puntos menos los 17,5824 de Theta)</v>
      </c>
    </row>
    <row r="21" spans="1:4" x14ac:dyDescent="0.55000000000000004">
      <c r="A21" s="62" t="s">
        <v>71</v>
      </c>
      <c r="B21" s="63"/>
      <c r="C21" s="63"/>
      <c r="D21" s="63"/>
    </row>
    <row r="22" spans="1:4" x14ac:dyDescent="0.55000000000000004">
      <c r="A22" s="63"/>
      <c r="B22" s="63"/>
      <c r="C22" s="63"/>
      <c r="D22" s="63"/>
    </row>
    <row r="23" spans="1:4" x14ac:dyDescent="0.55000000000000004">
      <c r="A23" s="63"/>
      <c r="B23" s="63"/>
      <c r="C23" s="63"/>
      <c r="D23" s="63"/>
    </row>
    <row r="26" spans="1:4" ht="21.3" x14ac:dyDescent="0.85">
      <c r="A26" s="22" t="s">
        <v>32</v>
      </c>
    </row>
  </sheetData>
  <sheetProtection algorithmName="SHA-512" hashValue="x3wUTwzitVtGdoAhKLGTG/kC484jMxuPVTPZDWXrB7DgUS94ITnD9vwonhVkoB0XiaPFe3ddvE5nmAI9j7rqFQ==" saltValue="byNXnePai5iy9rac1wEmsQ==" spinCount="100000" sheet="1" selectLockedCells="1"/>
  <mergeCells count="6">
    <mergeCell ref="A1:E1"/>
    <mergeCell ref="A21:D23"/>
    <mergeCell ref="A11:B11"/>
    <mergeCell ref="A15:B15"/>
    <mergeCell ref="A17:D17"/>
    <mergeCell ref="A5:D5"/>
  </mergeCells>
  <dataValidations count="2">
    <dataValidation type="list" allowBlank="1" showInputMessage="1" showErrorMessage="1" sqref="D3" xr:uid="{1F7A6420-D6F7-4F29-BE0F-9FAC876FA93B}">
      <formula1>"Lunes,Martes,Miércoles,Jueves,Viernes"</formula1>
    </dataValidation>
    <dataValidation type="list" allowBlank="1" showInputMessage="1" showErrorMessage="1" sqref="C3" xr:uid="{7EEC9B4E-43CA-49D3-9F54-43093330B3E2}">
      <formula1>"CALL (Largo),PUT (Corto)"</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270C2-ABC1-408A-B588-58536161671F}">
  <sheetPr codeName="Hoja2"/>
  <dimension ref="A1:F17"/>
  <sheetViews>
    <sheetView showGridLines="0" zoomScale="150" zoomScaleNormal="150" workbookViewId="0">
      <selection activeCell="C12" sqref="C12:D12"/>
    </sheetView>
  </sheetViews>
  <sheetFormatPr baseColWidth="10" defaultRowHeight="14.4" x14ac:dyDescent="0.55000000000000004"/>
  <cols>
    <col min="1" max="1" width="28.578125" style="2" customWidth="1"/>
    <col min="2" max="2" width="8.578125" style="2" customWidth="1"/>
    <col min="3" max="3" width="26.578125" style="2" customWidth="1"/>
    <col min="4" max="4" width="14.578125" style="2" customWidth="1"/>
    <col min="5" max="5" width="28.578125" style="2" customWidth="1"/>
    <col min="6" max="6" width="14.578125" style="2" customWidth="1"/>
    <col min="7" max="16384" width="10.9453125" style="2"/>
  </cols>
  <sheetData>
    <row r="1" spans="1:6" ht="25" customHeight="1" x14ac:dyDescent="0.65">
      <c r="A1" s="60" t="s">
        <v>67</v>
      </c>
      <c r="B1" s="61"/>
      <c r="C1" s="61"/>
      <c r="D1" s="61"/>
      <c r="E1" s="61"/>
      <c r="F1" s="61"/>
    </row>
    <row r="3" spans="1:6" x14ac:dyDescent="0.55000000000000004">
      <c r="A3" s="78" t="s">
        <v>35</v>
      </c>
      <c r="B3" s="67"/>
      <c r="C3" s="67"/>
      <c r="D3" s="67"/>
      <c r="E3" s="67"/>
      <c r="F3" s="67"/>
    </row>
    <row r="4" spans="1:6" x14ac:dyDescent="0.55000000000000004">
      <c r="A4" s="23" t="s">
        <v>15</v>
      </c>
      <c r="B4" s="23" t="s">
        <v>36</v>
      </c>
      <c r="C4" s="23" t="s">
        <v>11</v>
      </c>
      <c r="D4" s="23" t="s">
        <v>37</v>
      </c>
      <c r="E4" s="79" t="s">
        <v>38</v>
      </c>
      <c r="F4" s="79"/>
    </row>
    <row r="5" spans="1:6" x14ac:dyDescent="0.55000000000000004">
      <c r="A5" s="24" t="s">
        <v>2</v>
      </c>
      <c r="B5" s="24">
        <v>25800</v>
      </c>
      <c r="C5" s="24" t="s">
        <v>12</v>
      </c>
      <c r="D5" s="24">
        <v>2</v>
      </c>
      <c r="E5" s="80" t="s">
        <v>39</v>
      </c>
      <c r="F5" s="80"/>
    </row>
    <row r="7" spans="1:6" x14ac:dyDescent="0.55000000000000004">
      <c r="A7" s="78" t="s">
        <v>40</v>
      </c>
      <c r="B7" s="67"/>
      <c r="C7" s="67"/>
      <c r="D7" s="67"/>
      <c r="E7" s="67"/>
      <c r="F7" s="67"/>
    </row>
    <row r="8" spans="1:6" x14ac:dyDescent="0.55000000000000004">
      <c r="C8" s="76" t="s">
        <v>41</v>
      </c>
      <c r="D8" s="61"/>
      <c r="E8" s="77" t="s">
        <v>42</v>
      </c>
      <c r="F8" s="61"/>
    </row>
    <row r="9" spans="1:6" x14ac:dyDescent="0.55000000000000004">
      <c r="A9" s="69" t="s">
        <v>43</v>
      </c>
      <c r="B9" s="70"/>
      <c r="C9" s="74" t="s">
        <v>44</v>
      </c>
      <c r="D9" s="72"/>
      <c r="E9" s="75" t="s">
        <v>45</v>
      </c>
      <c r="F9" s="72"/>
    </row>
    <row r="10" spans="1:6" x14ac:dyDescent="0.55000000000000004">
      <c r="A10" s="69" t="s">
        <v>46</v>
      </c>
      <c r="B10" s="70"/>
      <c r="C10" s="74" t="s">
        <v>47</v>
      </c>
      <c r="D10" s="72"/>
      <c r="E10" s="75" t="s">
        <v>48</v>
      </c>
      <c r="F10" s="72"/>
    </row>
    <row r="11" spans="1:6" x14ac:dyDescent="0.55000000000000004">
      <c r="A11" s="69" t="s">
        <v>49</v>
      </c>
      <c r="B11" s="70"/>
      <c r="C11" s="74" t="s">
        <v>68</v>
      </c>
      <c r="D11" s="72"/>
      <c r="E11" s="75" t="s">
        <v>50</v>
      </c>
      <c r="F11" s="72"/>
    </row>
    <row r="12" spans="1:6" x14ac:dyDescent="0.55000000000000004">
      <c r="A12" s="69" t="s">
        <v>51</v>
      </c>
      <c r="B12" s="70"/>
      <c r="C12" s="74" t="s">
        <v>52</v>
      </c>
      <c r="D12" s="72"/>
      <c r="E12" s="75" t="s">
        <v>53</v>
      </c>
      <c r="F12" s="72"/>
    </row>
    <row r="13" spans="1:6" x14ac:dyDescent="0.55000000000000004">
      <c r="A13" s="69" t="s">
        <v>54</v>
      </c>
      <c r="B13" s="70"/>
      <c r="C13" s="74" t="s">
        <v>55</v>
      </c>
      <c r="D13" s="72"/>
      <c r="E13" s="75" t="s">
        <v>56</v>
      </c>
      <c r="F13" s="72"/>
    </row>
    <row r="14" spans="1:6" x14ac:dyDescent="0.55000000000000004">
      <c r="A14" s="69" t="s">
        <v>57</v>
      </c>
      <c r="B14" s="70"/>
      <c r="C14" s="74" t="s">
        <v>58</v>
      </c>
      <c r="D14" s="72"/>
      <c r="E14" s="75" t="s">
        <v>59</v>
      </c>
      <c r="F14" s="72"/>
    </row>
    <row r="15" spans="1:6" x14ac:dyDescent="0.55000000000000004">
      <c r="A15" s="69" t="s">
        <v>60</v>
      </c>
      <c r="B15" s="70"/>
      <c r="C15" s="74" t="s">
        <v>69</v>
      </c>
      <c r="D15" s="72"/>
      <c r="E15" s="75" t="s">
        <v>61</v>
      </c>
      <c r="F15" s="72"/>
    </row>
    <row r="16" spans="1:6" x14ac:dyDescent="0.55000000000000004">
      <c r="A16" s="69" t="s">
        <v>62</v>
      </c>
      <c r="B16" s="70"/>
      <c r="C16" s="74" t="s">
        <v>63</v>
      </c>
      <c r="D16" s="72"/>
      <c r="E16" s="75" t="s">
        <v>64</v>
      </c>
      <c r="F16" s="72"/>
    </row>
    <row r="17" spans="1:6" x14ac:dyDescent="0.55000000000000004">
      <c r="A17" s="69" t="s">
        <v>65</v>
      </c>
      <c r="B17" s="70"/>
      <c r="C17" s="71" t="s">
        <v>70</v>
      </c>
      <c r="D17" s="72"/>
      <c r="E17" s="73" t="s">
        <v>66</v>
      </c>
      <c r="F17" s="72"/>
    </row>
  </sheetData>
  <sheetProtection algorithmName="SHA-512" hashValue="cFmZsas1lIX0VAwZ+xK3uvNwh82F8ms1EVvLf5Hci3oO1oY9+jVg3ayCSgtw6X+gfenLTmUC4QHAGS/haKHx/A==" saltValue="PZVKarVRsmbnvzNwcUELLA==" spinCount="100000" sheet="1" objects="1" scenarios="1" selectLockedCells="1"/>
  <mergeCells count="34">
    <mergeCell ref="C8:D8"/>
    <mergeCell ref="E8:F8"/>
    <mergeCell ref="A1:F1"/>
    <mergeCell ref="A3:F3"/>
    <mergeCell ref="E4:F4"/>
    <mergeCell ref="E5:F5"/>
    <mergeCell ref="A7:F7"/>
    <mergeCell ref="A9:B9"/>
    <mergeCell ref="C9:D9"/>
    <mergeCell ref="E9:F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7:B17"/>
    <mergeCell ref="C17:D17"/>
    <mergeCell ref="E17:F17"/>
    <mergeCell ref="A15:B15"/>
    <mergeCell ref="C15:D15"/>
    <mergeCell ref="E15:F15"/>
    <mergeCell ref="A16:B16"/>
    <mergeCell ref="C16:D16"/>
    <mergeCell ref="E16:F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79018-9BB6-4DF4-AF74-DBE377A839E5}">
  <sheetPr codeName="Hoja3"/>
  <dimension ref="A1:H27"/>
  <sheetViews>
    <sheetView workbookViewId="0">
      <selection sqref="A1:XFD1048576"/>
    </sheetView>
  </sheetViews>
  <sheetFormatPr baseColWidth="10" defaultColWidth="9.15625" defaultRowHeight="14.4" x14ac:dyDescent="0.55000000000000004"/>
  <cols>
    <col min="1" max="1" width="16.15625" style="40" customWidth="1"/>
    <col min="2" max="3" width="18.15625" style="40" customWidth="1"/>
    <col min="4" max="5" width="17.15625" style="40" customWidth="1"/>
    <col min="6" max="7" width="20" style="40" customWidth="1"/>
    <col min="8" max="8" width="38.15625" style="40" customWidth="1"/>
    <col min="9" max="16384" width="9.15625" style="2"/>
  </cols>
  <sheetData>
    <row r="1" spans="1:8" x14ac:dyDescent="0.55000000000000004">
      <c r="A1" s="81" t="s">
        <v>73</v>
      </c>
      <c r="B1" s="81"/>
      <c r="C1" s="81"/>
      <c r="D1" s="81"/>
      <c r="E1" s="81"/>
      <c r="F1" s="81"/>
      <c r="G1" s="81"/>
      <c r="H1" s="81"/>
    </row>
    <row r="2" spans="1:8" x14ac:dyDescent="0.55000000000000004">
      <c r="A2" s="82" t="s">
        <v>74</v>
      </c>
      <c r="B2" s="82"/>
      <c r="C2" s="82"/>
      <c r="D2" s="82"/>
      <c r="E2" s="82"/>
      <c r="F2" s="82"/>
      <c r="G2" s="82"/>
      <c r="H2" s="82"/>
    </row>
    <row r="4" spans="1:8" x14ac:dyDescent="0.55000000000000004">
      <c r="A4" s="83" t="s">
        <v>75</v>
      </c>
      <c r="B4" s="83"/>
      <c r="C4" s="83"/>
      <c r="D4" s="83"/>
    </row>
    <row r="5" spans="1:8" x14ac:dyDescent="0.55000000000000004">
      <c r="A5" s="41" t="s">
        <v>76</v>
      </c>
      <c r="B5" s="42" t="s">
        <v>77</v>
      </c>
      <c r="C5" s="42" t="s">
        <v>78</v>
      </c>
      <c r="D5" s="43" t="s">
        <v>79</v>
      </c>
      <c r="E5" s="44"/>
      <c r="F5" s="44"/>
      <c r="G5" s="44"/>
      <c r="H5" s="44"/>
    </row>
    <row r="6" spans="1:8" x14ac:dyDescent="0.55000000000000004">
      <c r="A6" s="45" t="s">
        <v>80</v>
      </c>
      <c r="B6" s="46" t="s">
        <v>81</v>
      </c>
      <c r="C6" s="46" t="s">
        <v>82</v>
      </c>
      <c r="D6" s="47" t="s">
        <v>83</v>
      </c>
      <c r="E6" s="44"/>
      <c r="F6" s="44"/>
      <c r="G6" s="44"/>
      <c r="H6" s="44"/>
    </row>
    <row r="7" spans="1:8" x14ac:dyDescent="0.55000000000000004">
      <c r="A7" s="45" t="s">
        <v>2</v>
      </c>
      <c r="B7" s="46" t="s">
        <v>84</v>
      </c>
      <c r="C7" s="46" t="s">
        <v>85</v>
      </c>
      <c r="D7" s="47" t="s">
        <v>86</v>
      </c>
      <c r="E7" s="44"/>
      <c r="F7" s="44"/>
      <c r="G7" s="44"/>
      <c r="H7" s="44"/>
    </row>
    <row r="8" spans="1:8" x14ac:dyDescent="0.55000000000000004">
      <c r="A8" s="45" t="s">
        <v>87</v>
      </c>
      <c r="B8" s="46" t="s">
        <v>88</v>
      </c>
      <c r="C8" s="46" t="s">
        <v>89</v>
      </c>
      <c r="D8" s="47" t="s">
        <v>83</v>
      </c>
      <c r="E8" s="44"/>
      <c r="F8" s="44"/>
      <c r="G8" s="44"/>
      <c r="H8" s="44"/>
    </row>
    <row r="9" spans="1:8" x14ac:dyDescent="0.55000000000000004">
      <c r="A9" s="45" t="s">
        <v>90</v>
      </c>
      <c r="B9" s="46" t="s">
        <v>91</v>
      </c>
      <c r="C9" s="46" t="s">
        <v>92</v>
      </c>
      <c r="D9" s="47" t="s">
        <v>86</v>
      </c>
      <c r="E9" s="44"/>
      <c r="F9" s="44"/>
      <c r="G9" s="44"/>
      <c r="H9" s="44"/>
    </row>
    <row r="10" spans="1:8" x14ac:dyDescent="0.55000000000000004">
      <c r="A10" s="45" t="s">
        <v>93</v>
      </c>
      <c r="B10" s="46" t="s">
        <v>91</v>
      </c>
      <c r="C10" s="46" t="s">
        <v>85</v>
      </c>
      <c r="D10" s="47" t="s">
        <v>86</v>
      </c>
      <c r="E10" s="44"/>
      <c r="F10" s="44"/>
      <c r="G10" s="44"/>
      <c r="H10" s="44"/>
    </row>
    <row r="11" spans="1:8" x14ac:dyDescent="0.55000000000000004">
      <c r="A11" s="45" t="s">
        <v>94</v>
      </c>
      <c r="B11" s="46" t="s">
        <v>95</v>
      </c>
      <c r="C11" s="46" t="s">
        <v>85</v>
      </c>
      <c r="D11" s="47" t="s">
        <v>96</v>
      </c>
      <c r="E11" s="44"/>
      <c r="F11" s="44"/>
      <c r="G11" s="44"/>
      <c r="H11" s="44"/>
    </row>
    <row r="12" spans="1:8" x14ac:dyDescent="0.55000000000000004">
      <c r="A12" s="45" t="s">
        <v>97</v>
      </c>
      <c r="B12" s="46" t="s">
        <v>95</v>
      </c>
      <c r="C12" s="46" t="s">
        <v>85</v>
      </c>
      <c r="D12" s="47" t="s">
        <v>96</v>
      </c>
      <c r="E12" s="44"/>
      <c r="F12" s="44"/>
      <c r="G12" s="44"/>
      <c r="H12" s="44"/>
    </row>
    <row r="13" spans="1:8" x14ac:dyDescent="0.55000000000000004">
      <c r="A13" s="45" t="s">
        <v>98</v>
      </c>
      <c r="B13" s="46" t="s">
        <v>95</v>
      </c>
      <c r="C13" s="46" t="s">
        <v>85</v>
      </c>
      <c r="D13" s="47" t="s">
        <v>96</v>
      </c>
      <c r="E13" s="44"/>
      <c r="F13" s="44"/>
      <c r="G13" s="44"/>
      <c r="H13" s="44"/>
    </row>
    <row r="14" spans="1:8" x14ac:dyDescent="0.55000000000000004">
      <c r="A14" s="48" t="s">
        <v>99</v>
      </c>
      <c r="B14" s="49" t="s">
        <v>100</v>
      </c>
      <c r="C14" s="49" t="s">
        <v>85</v>
      </c>
      <c r="D14" s="50" t="s">
        <v>86</v>
      </c>
      <c r="E14" s="44"/>
      <c r="F14" s="44"/>
      <c r="G14" s="44"/>
      <c r="H14" s="44"/>
    </row>
    <row r="15" spans="1:8" x14ac:dyDescent="0.55000000000000004">
      <c r="A15" s="48" t="s">
        <v>101</v>
      </c>
      <c r="B15" s="49" t="s">
        <v>100</v>
      </c>
      <c r="C15" s="49" t="s">
        <v>85</v>
      </c>
      <c r="D15" s="50"/>
      <c r="E15" s="44"/>
      <c r="F15" s="44"/>
      <c r="G15" s="44"/>
      <c r="H15" s="44"/>
    </row>
    <row r="16" spans="1:8" x14ac:dyDescent="0.55000000000000004">
      <c r="A16" s="51"/>
      <c r="B16" s="44"/>
      <c r="C16" s="44"/>
      <c r="D16" s="44"/>
      <c r="E16" s="44"/>
      <c r="F16" s="44"/>
      <c r="G16" s="44"/>
      <c r="H16" s="44"/>
    </row>
    <row r="17" spans="1:8" x14ac:dyDescent="0.55000000000000004">
      <c r="A17" s="83" t="s">
        <v>102</v>
      </c>
      <c r="B17" s="81"/>
      <c r="C17" s="81"/>
      <c r="D17" s="81"/>
      <c r="E17" s="81"/>
      <c r="F17" s="81"/>
      <c r="G17" s="81"/>
      <c r="H17" s="81"/>
    </row>
    <row r="18" spans="1:8" x14ac:dyDescent="0.55000000000000004">
      <c r="A18" s="52" t="s">
        <v>76</v>
      </c>
      <c r="B18" s="53" t="s">
        <v>103</v>
      </c>
      <c r="C18" s="53" t="s">
        <v>104</v>
      </c>
      <c r="D18" s="42" t="s">
        <v>105</v>
      </c>
      <c r="E18" s="42" t="s">
        <v>106</v>
      </c>
      <c r="F18" s="42" t="s">
        <v>107</v>
      </c>
      <c r="G18" s="42" t="s">
        <v>108</v>
      </c>
      <c r="H18" s="43" t="s">
        <v>79</v>
      </c>
    </row>
    <row r="19" spans="1:8" x14ac:dyDescent="0.55000000000000004">
      <c r="A19" s="45" t="s">
        <v>109</v>
      </c>
      <c r="B19" s="54" t="s">
        <v>81</v>
      </c>
      <c r="C19" s="54" t="s">
        <v>82</v>
      </c>
      <c r="D19" s="55" t="s">
        <v>110</v>
      </c>
      <c r="E19" s="55" t="s">
        <v>82</v>
      </c>
      <c r="F19" s="55" t="s">
        <v>81</v>
      </c>
      <c r="G19" s="55" t="s">
        <v>82</v>
      </c>
      <c r="H19" s="56" t="s">
        <v>86</v>
      </c>
    </row>
    <row r="20" spans="1:8" x14ac:dyDescent="0.55000000000000004">
      <c r="A20" s="45" t="s">
        <v>2</v>
      </c>
      <c r="B20" s="54" t="s">
        <v>84</v>
      </c>
      <c r="C20" s="54" t="s">
        <v>85</v>
      </c>
      <c r="D20" s="55" t="s">
        <v>111</v>
      </c>
      <c r="E20" s="55" t="s">
        <v>89</v>
      </c>
      <c r="F20" s="55" t="s">
        <v>84</v>
      </c>
      <c r="G20" s="55" t="s">
        <v>85</v>
      </c>
      <c r="H20" s="56" t="s">
        <v>86</v>
      </c>
    </row>
    <row r="21" spans="1:8" x14ac:dyDescent="0.55000000000000004">
      <c r="A21" s="45" t="s">
        <v>112</v>
      </c>
      <c r="B21" s="54" t="s">
        <v>88</v>
      </c>
      <c r="C21" s="54" t="s">
        <v>89</v>
      </c>
      <c r="D21" s="55" t="s">
        <v>88</v>
      </c>
      <c r="E21" s="55" t="s">
        <v>89</v>
      </c>
      <c r="F21" s="55" t="s">
        <v>88</v>
      </c>
      <c r="G21" s="55" t="s">
        <v>89</v>
      </c>
      <c r="H21" s="56" t="s">
        <v>86</v>
      </c>
    </row>
    <row r="22" spans="1:8" x14ac:dyDescent="0.55000000000000004">
      <c r="A22" s="45" t="s">
        <v>90</v>
      </c>
      <c r="B22" s="54" t="s">
        <v>91</v>
      </c>
      <c r="C22" s="54" t="s">
        <v>92</v>
      </c>
      <c r="D22" s="55" t="s">
        <v>110</v>
      </c>
      <c r="E22" s="55" t="s">
        <v>82</v>
      </c>
      <c r="F22" s="55" t="s">
        <v>91</v>
      </c>
      <c r="G22" s="55" t="s">
        <v>85</v>
      </c>
      <c r="H22" s="56" t="s">
        <v>86</v>
      </c>
    </row>
    <row r="23" spans="1:8" x14ac:dyDescent="0.55000000000000004">
      <c r="A23" s="45" t="s">
        <v>93</v>
      </c>
      <c r="B23" s="54" t="s">
        <v>91</v>
      </c>
      <c r="C23" s="54" t="s">
        <v>85</v>
      </c>
      <c r="D23" s="55" t="s">
        <v>110</v>
      </c>
      <c r="E23" s="55" t="s">
        <v>82</v>
      </c>
      <c r="F23" s="55" t="s">
        <v>91</v>
      </c>
      <c r="G23" s="55" t="s">
        <v>85</v>
      </c>
      <c r="H23" s="56" t="s">
        <v>86</v>
      </c>
    </row>
    <row r="24" spans="1:8" x14ac:dyDescent="0.55000000000000004">
      <c r="A24" s="45" t="s">
        <v>94</v>
      </c>
      <c r="B24" s="54" t="s">
        <v>95</v>
      </c>
      <c r="C24" s="54" t="s">
        <v>85</v>
      </c>
      <c r="D24" s="55" t="s">
        <v>82</v>
      </c>
      <c r="E24" s="55" t="s">
        <v>113</v>
      </c>
      <c r="F24" s="55" t="s">
        <v>95</v>
      </c>
      <c r="G24" s="55" t="s">
        <v>85</v>
      </c>
      <c r="H24" s="56" t="s">
        <v>96</v>
      </c>
    </row>
    <row r="25" spans="1:8" x14ac:dyDescent="0.55000000000000004">
      <c r="A25" s="45" t="s">
        <v>97</v>
      </c>
      <c r="B25" s="54" t="s">
        <v>95</v>
      </c>
      <c r="C25" s="54" t="s">
        <v>85</v>
      </c>
      <c r="D25" s="55" t="s">
        <v>82</v>
      </c>
      <c r="E25" s="55" t="s">
        <v>114</v>
      </c>
      <c r="F25" s="55" t="s">
        <v>95</v>
      </c>
      <c r="G25" s="55" t="s">
        <v>85</v>
      </c>
      <c r="H25" s="56" t="s">
        <v>96</v>
      </c>
    </row>
    <row r="26" spans="1:8" x14ac:dyDescent="0.55000000000000004">
      <c r="A26" s="45" t="s">
        <v>98</v>
      </c>
      <c r="B26" s="54" t="s">
        <v>95</v>
      </c>
      <c r="C26" s="54" t="s">
        <v>85</v>
      </c>
      <c r="D26" s="55" t="s">
        <v>82</v>
      </c>
      <c r="E26" s="55" t="s">
        <v>114</v>
      </c>
      <c r="F26" s="55" t="s">
        <v>95</v>
      </c>
      <c r="G26" s="55" t="s">
        <v>85</v>
      </c>
      <c r="H26" s="56" t="s">
        <v>96</v>
      </c>
    </row>
    <row r="27" spans="1:8" x14ac:dyDescent="0.55000000000000004">
      <c r="A27" s="48" t="s">
        <v>99</v>
      </c>
      <c r="B27" s="57" t="s">
        <v>100</v>
      </c>
      <c r="C27" s="57" t="s">
        <v>85</v>
      </c>
      <c r="D27" s="58" t="s">
        <v>82</v>
      </c>
      <c r="E27" s="58" t="s">
        <v>115</v>
      </c>
      <c r="F27" s="58" t="s">
        <v>100</v>
      </c>
      <c r="G27" s="58" t="s">
        <v>85</v>
      </c>
      <c r="H27" s="59" t="s">
        <v>86</v>
      </c>
    </row>
  </sheetData>
  <sheetProtection algorithmName="SHA-512" hashValue="HkmeTua/Yp09KvLTwI1acjjBcPqBvlu28xvp+7YZuYqJ6BRmEBiCVPwMsxYXhhKC03cPUoJGxGUU70X/LZh0sw==" saltValue="BLxQszC6F3sL37lLrgeU9A==" spinCount="100000" sheet="1" objects="1" scenarios="1" selectLockedCells="1" selectUnlockedCells="1"/>
  <mergeCells count="4">
    <mergeCell ref="A1:H1"/>
    <mergeCell ref="A2:H2"/>
    <mergeCell ref="A4:D4"/>
    <mergeCell ref="A17:H17"/>
  </mergeCells>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B8423-F48E-441A-B28F-87571CD4FB6A}">
  <sheetPr codeName="Hoja4"/>
  <dimension ref="A1:F41"/>
  <sheetViews>
    <sheetView tabSelected="1" zoomScale="75" zoomScaleNormal="75" workbookViewId="0">
      <selection activeCell="B10" sqref="B10"/>
    </sheetView>
  </sheetViews>
  <sheetFormatPr baseColWidth="10" defaultColWidth="8.68359375" defaultRowHeight="14.4" x14ac:dyDescent="0.55000000000000004"/>
  <cols>
    <col min="1" max="1" width="42" style="2" customWidth="1"/>
    <col min="2" max="2" width="30" style="2" customWidth="1"/>
    <col min="3" max="3" width="35" style="2" customWidth="1"/>
    <col min="4" max="4" width="8.68359375" style="2"/>
    <col min="5" max="5" width="3" style="2" customWidth="1"/>
    <col min="6" max="6" width="46" style="2" customWidth="1"/>
    <col min="7" max="16384" width="8.68359375" style="2"/>
  </cols>
  <sheetData>
    <row r="1" spans="1:6" ht="17.7" x14ac:dyDescent="0.55000000000000004">
      <c r="A1" s="86" t="s">
        <v>116</v>
      </c>
      <c r="B1" s="86"/>
      <c r="C1" s="86"/>
    </row>
    <row r="2" spans="1:6" x14ac:dyDescent="0.55000000000000004">
      <c r="A2" s="87" t="s">
        <v>132</v>
      </c>
      <c r="B2" s="87"/>
      <c r="C2" s="87"/>
    </row>
    <row r="4" spans="1:6" x14ac:dyDescent="0.55000000000000004">
      <c r="A4" s="85" t="s">
        <v>117</v>
      </c>
      <c r="B4" s="85"/>
      <c r="C4" s="85"/>
      <c r="F4" s="25" t="s">
        <v>133</v>
      </c>
    </row>
    <row r="5" spans="1:6" x14ac:dyDescent="0.55000000000000004">
      <c r="A5" s="26" t="s">
        <v>118</v>
      </c>
      <c r="B5" s="27">
        <v>30000</v>
      </c>
      <c r="F5" s="25" t="s">
        <v>134</v>
      </c>
    </row>
    <row r="6" spans="1:6" x14ac:dyDescent="0.55000000000000004">
      <c r="A6" s="26" t="s">
        <v>119</v>
      </c>
      <c r="B6" s="28">
        <v>0.01</v>
      </c>
      <c r="F6" s="25" t="s">
        <v>135</v>
      </c>
    </row>
    <row r="7" spans="1:6" x14ac:dyDescent="0.55000000000000004">
      <c r="A7" s="26" t="s">
        <v>129</v>
      </c>
      <c r="B7" s="29" t="s">
        <v>161</v>
      </c>
      <c r="F7" s="25" t="s">
        <v>136</v>
      </c>
    </row>
    <row r="8" spans="1:6" x14ac:dyDescent="0.55000000000000004">
      <c r="A8" s="26" t="s">
        <v>120</v>
      </c>
      <c r="B8" s="30">
        <v>8.7294999999999998</v>
      </c>
      <c r="F8" s="25" t="s">
        <v>137</v>
      </c>
    </row>
    <row r="9" spans="1:6" x14ac:dyDescent="0.55000000000000004">
      <c r="A9" s="26" t="s">
        <v>121</v>
      </c>
      <c r="B9" s="30">
        <v>8.734</v>
      </c>
      <c r="F9" s="25" t="s">
        <v>138</v>
      </c>
    </row>
    <row r="10" spans="1:6" ht="28.2" x14ac:dyDescent="0.55000000000000004">
      <c r="A10" s="26" t="s">
        <v>139</v>
      </c>
      <c r="B10" s="31" t="s">
        <v>140</v>
      </c>
      <c r="F10" s="25" t="s">
        <v>140</v>
      </c>
    </row>
    <row r="11" spans="1:6" x14ac:dyDescent="0.55000000000000004">
      <c r="A11" s="32" t="s">
        <v>141</v>
      </c>
      <c r="B11" s="33">
        <f>IF(ISNUMBER(SEARCH("Forex",B10)),IF(ISNUMBER(SEARCH("Lote estándar",B10)),10,1),IF(ISNUMBER(SEARCH("Petróleo",B10)),1000,IF(ISNUMBER(SEARCH("Oro",B10)),IF(ISNUMBER(SEARCH("estándar",B10)),100,10),"")))</f>
        <v>1</v>
      </c>
      <c r="F11" s="25" t="s">
        <v>142</v>
      </c>
    </row>
    <row r="12" spans="1:6" x14ac:dyDescent="0.55000000000000004">
      <c r="A12" s="26" t="s">
        <v>143</v>
      </c>
      <c r="B12" s="27">
        <v>1</v>
      </c>
      <c r="F12" s="25" t="s">
        <v>144</v>
      </c>
    </row>
    <row r="13" spans="1:6" x14ac:dyDescent="0.55000000000000004">
      <c r="A13" s="26" t="s">
        <v>145</v>
      </c>
      <c r="B13" s="34">
        <v>30</v>
      </c>
    </row>
    <row r="15" spans="1:6" x14ac:dyDescent="0.55000000000000004">
      <c r="A15" s="85" t="s">
        <v>130</v>
      </c>
      <c r="B15" s="85"/>
      <c r="C15" s="85"/>
    </row>
    <row r="16" spans="1:6" x14ac:dyDescent="0.55000000000000004">
      <c r="A16" s="32" t="s">
        <v>131</v>
      </c>
      <c r="B16" s="88" t="str">
        <f>IF(B7="Compra (alcista)",IF(B9&lt;B8,"OK: stop por debajo de la entrada","AVISO: en compra, el stop debería estar por debajo de la entrada"),IF(B9&gt;B8,"OK: stop por encima de la entrada","AVISO: en venta, el stop debería estar por encima de la entrada"))</f>
        <v>OK: stop por encima de la entrada</v>
      </c>
      <c r="C16" s="88"/>
    </row>
    <row r="17" spans="1:3" x14ac:dyDescent="0.55000000000000004">
      <c r="A17" s="32" t="s">
        <v>146</v>
      </c>
      <c r="B17" s="88" t="str">
        <f>IF(AND(ISNUMBER(SEARCH("Forex",B10)),NOT(ISNUMBER(SEARCH("JPY",B10))),ABS(B8)&gt;=50),"AVISO: el precio no parece forex estándar, revisa la selección",IF(AND(B10="Índice / Materia prima (genérico)",ABS(B8)&lt;10),"AVISO: el precio parece bajo para índice/materia prima, revisa la selección","OK"))</f>
        <v>OK</v>
      </c>
      <c r="C17" s="88"/>
    </row>
    <row r="18" spans="1:3" x14ac:dyDescent="0.55000000000000004">
      <c r="A18" s="32" t="s">
        <v>147</v>
      </c>
      <c r="B18" s="88" t="str">
        <f>IFERROR(IF(B26&gt;B5,"AVISO: el margen estimado requerido supera tu capital disponible","OK: margen dentro de tu capital"),"Revisa apalancamiento")</f>
        <v>OK: margen dentro de tu capital</v>
      </c>
      <c r="C18" s="88"/>
    </row>
    <row r="20" spans="1:3" x14ac:dyDescent="0.55000000000000004">
      <c r="A20" s="85" t="s">
        <v>122</v>
      </c>
      <c r="B20" s="85"/>
      <c r="C20" s="85"/>
    </row>
    <row r="21" spans="1:3" x14ac:dyDescent="0.55000000000000004">
      <c r="A21" s="32" t="s">
        <v>123</v>
      </c>
      <c r="B21" s="35">
        <f>B5*B6</f>
        <v>300</v>
      </c>
    </row>
    <row r="22" spans="1:3" x14ac:dyDescent="0.55000000000000004">
      <c r="A22" s="32" t="s">
        <v>148</v>
      </c>
      <c r="B22" s="36">
        <f>IF(ISNUMBER(SEARCH("Forex",B10)),IF(ISNUMBER(SEARCH("JPY",B10)),100,10000),1)</f>
        <v>10000</v>
      </c>
    </row>
    <row r="23" spans="1:3" x14ac:dyDescent="0.55000000000000004">
      <c r="A23" s="32" t="s">
        <v>149</v>
      </c>
      <c r="B23" s="37">
        <f>ABS(B8-B9)*B22</f>
        <v>45.000000000001705</v>
      </c>
    </row>
    <row r="24" spans="1:3" x14ac:dyDescent="0.55000000000000004">
      <c r="A24" s="32" t="s">
        <v>124</v>
      </c>
      <c r="B24" s="35">
        <f>B23*B12</f>
        <v>45.000000000001705</v>
      </c>
    </row>
    <row r="25" spans="1:3" x14ac:dyDescent="0.55000000000000004">
      <c r="A25" s="32" t="s">
        <v>150</v>
      </c>
      <c r="B25" s="35">
        <f>IF(ISNUMBER(SEARCH("Forex",B10)),IF(ISNUMBER(SEARCH("Lote estándar",B10)),100000,10000)*B8,B8*B12)</f>
        <v>87295</v>
      </c>
    </row>
    <row r="26" spans="1:3" x14ac:dyDescent="0.55000000000000004">
      <c r="A26" s="32" t="s">
        <v>151</v>
      </c>
      <c r="B26" s="35">
        <f>IFERROR((B29*B25)/B13,"-")</f>
        <v>19379.490000000002</v>
      </c>
    </row>
    <row r="28" spans="1:3" x14ac:dyDescent="0.55000000000000004">
      <c r="A28" s="85" t="s">
        <v>125</v>
      </c>
      <c r="B28" s="85"/>
      <c r="C28" s="85"/>
    </row>
    <row r="29" spans="1:3" ht="16.5" x14ac:dyDescent="0.6">
      <c r="A29" s="38" t="s">
        <v>126</v>
      </c>
      <c r="B29" s="39">
        <f>IFERROR(ROUNDDOWN(B21/B24,2),"Revisa los datos")</f>
        <v>6.66</v>
      </c>
    </row>
    <row r="30" spans="1:3" x14ac:dyDescent="0.55000000000000004">
      <c r="A30" s="32" t="s">
        <v>127</v>
      </c>
      <c r="B30" s="36">
        <f>IFERROR(INT(B21/B24),"-")</f>
        <v>6</v>
      </c>
    </row>
    <row r="32" spans="1:3" x14ac:dyDescent="0.55000000000000004">
      <c r="A32" s="85" t="s">
        <v>128</v>
      </c>
      <c r="B32" s="85"/>
      <c r="C32" s="85"/>
    </row>
    <row r="33" spans="1:3" x14ac:dyDescent="0.55000000000000004">
      <c r="A33" s="84" t="s">
        <v>152</v>
      </c>
      <c r="B33" s="84"/>
      <c r="C33" s="84"/>
    </row>
    <row r="34" spans="1:3" x14ac:dyDescent="0.55000000000000004">
      <c r="A34" s="84" t="s">
        <v>153</v>
      </c>
      <c r="B34" s="84"/>
      <c r="C34" s="84"/>
    </row>
    <row r="35" spans="1:3" x14ac:dyDescent="0.55000000000000004">
      <c r="A35" s="84" t="s">
        <v>154</v>
      </c>
      <c r="B35" s="84"/>
      <c r="C35" s="84"/>
    </row>
    <row r="36" spans="1:3" x14ac:dyDescent="0.55000000000000004">
      <c r="A36" s="84" t="s">
        <v>155</v>
      </c>
      <c r="B36" s="84"/>
      <c r="C36" s="84"/>
    </row>
    <row r="37" spans="1:3" x14ac:dyDescent="0.55000000000000004">
      <c r="A37" s="84" t="s">
        <v>156</v>
      </c>
      <c r="B37" s="84"/>
      <c r="C37" s="84"/>
    </row>
    <row r="38" spans="1:3" x14ac:dyDescent="0.55000000000000004">
      <c r="A38" s="84" t="s">
        <v>157</v>
      </c>
      <c r="B38" s="84"/>
      <c r="C38" s="84"/>
    </row>
    <row r="39" spans="1:3" x14ac:dyDescent="0.55000000000000004">
      <c r="A39" s="84" t="s">
        <v>158</v>
      </c>
      <c r="B39" s="84"/>
      <c r="C39" s="84"/>
    </row>
    <row r="40" spans="1:3" x14ac:dyDescent="0.55000000000000004">
      <c r="A40" s="84" t="s">
        <v>159</v>
      </c>
      <c r="B40" s="84"/>
      <c r="C40" s="84"/>
    </row>
    <row r="41" spans="1:3" x14ac:dyDescent="0.55000000000000004">
      <c r="A41" s="84" t="s">
        <v>160</v>
      </c>
      <c r="B41" s="84"/>
      <c r="C41" s="84"/>
    </row>
  </sheetData>
  <sheetProtection algorithmName="SHA-512" hashValue="wnMrmNj4XIl1e0vagr1HKs1r49HjoIvMls6QlCdcFlT7ReZqU7rgRVFBRJqC5U0yKIyYhOFvxmU1ZXyI2/7COg==" saltValue="wHpxPHvS/TPGoFAkPNLBjg==" spinCount="100000" sheet="1" objects="1" scenarios="1" selectLockedCells="1"/>
  <mergeCells count="19">
    <mergeCell ref="A28:C28"/>
    <mergeCell ref="A1:C1"/>
    <mergeCell ref="A2:C2"/>
    <mergeCell ref="A15:C15"/>
    <mergeCell ref="B16:C16"/>
    <mergeCell ref="B17:C17"/>
    <mergeCell ref="A4:C4"/>
    <mergeCell ref="A20:C20"/>
    <mergeCell ref="B18:C18"/>
    <mergeCell ref="A38:C38"/>
    <mergeCell ref="A39:C39"/>
    <mergeCell ref="A40:C40"/>
    <mergeCell ref="A41:C41"/>
    <mergeCell ref="A32:C32"/>
    <mergeCell ref="A33:C33"/>
    <mergeCell ref="A34:C34"/>
    <mergeCell ref="A35:C35"/>
    <mergeCell ref="A36:C36"/>
    <mergeCell ref="A37:C37"/>
  </mergeCells>
  <dataValidations count="3">
    <dataValidation type="list" errorTitle="Selección no válida" error="Elige una opción de la lista" sqref="B10" xr:uid="{FAC3793A-6002-476B-A7C0-FADA6652A37F}">
      <formula1>$F$5:$F$12</formula1>
      <formula2>0</formula2>
    </dataValidation>
    <dataValidation type="list" errorTitle="Dirección no válida" error="Elige Compra (alcista) o Venta (bajista)" sqref="B7" xr:uid="{014F2E44-9E83-4A8E-8E83-5935D4677892}">
      <formula1>"Compra (alcista),Venta (bajista)"</formula1>
      <formula2>0</formula2>
    </dataValidation>
    <dataValidation type="list" errorTitle="Riesgo no válido" error="Elige un valor de la lista (0,5% a 2%)" sqref="B6" xr:uid="{818F53F5-C9D2-4AA8-A88B-9F2B69A30651}">
      <formula1>"0.5%,1%,1.5%,2%"</formula1>
      <formula2>0</formula2>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Calculadora</vt:lpstr>
      <vt:lpstr>Lab Casino vs Banco</vt:lpstr>
      <vt:lpstr>Market Open times</vt:lpstr>
      <vt:lpstr>Calculo nº contratos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Domenec Suria</dc:creator>
  <cp:lastModifiedBy>Domenec Suria</cp:lastModifiedBy>
  <dcterms:created xsi:type="dcterms:W3CDTF">2026-07-24T11:51:44Z</dcterms:created>
  <dcterms:modified xsi:type="dcterms:W3CDTF">2026-09-17T19:54:01Z</dcterms:modified>
</cp:coreProperties>
</file>